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geni\Dropbox\Geni\Intuit\Intuit Tax &amp; Accounting\"/>
    </mc:Choice>
  </mc:AlternateContent>
  <xr:revisionPtr revIDLastSave="0" documentId="13_ncr:1_{2DE68AD8-5923-444D-9A73-CEF8D8D14686}" xr6:coauthVersionLast="45" xr6:coauthVersionMax="45" xr10:uidLastSave="{00000000-0000-0000-0000-000000000000}"/>
  <bookViews>
    <workbookView xWindow="28680" yWindow="-120" windowWidth="29040" windowHeight="15840" tabRatio="798" xr2:uid="{00000000-000D-0000-FFFF-FFFF00000000}"/>
  </bookViews>
  <sheets>
    <sheet name="Retail" sheetId="9" r:id="rId1"/>
    <sheet name="Inputs" sheetId="8" r:id="rId2"/>
    <sheet name="Sample data - all" sheetId="2" r:id="rId3"/>
    <sheet name="Sample data Club" sheetId="5" r:id="rId4"/>
    <sheet name="Sample data E-commerce" sheetId="7" r:id="rId5"/>
    <sheet name="Break Even Calculations" sheetId="10" r:id="rId6"/>
    <sheet name="Scenario 1" sheetId="12" r:id="rId7"/>
    <sheet name="Scenario 2" sheetId="15" r:id="rId8"/>
    <sheet name="Scenario 3" sheetId="14" r:id="rId9"/>
  </sheets>
  <definedNames>
    <definedName name="_xlnm.Print_Area" localSheetId="5">'Break Even Calculations'!$B$1:$E$24</definedName>
    <definedName name="_xlnm.Print_Area" localSheetId="0">Retail!$A$2:$M$56</definedName>
    <definedName name="_xlnm.Print_Area" localSheetId="2">'Sample data - all'!$A$1:$F$41</definedName>
    <definedName name="_xlnm.Print_Area" localSheetId="3">'Sample data Club'!$A$1:$J$30</definedName>
    <definedName name="_xlnm.Print_Area" localSheetId="4">'Sample data E-commerce'!$A$1:$K$34</definedName>
    <definedName name="_xlnm.Print_Area" localSheetId="6">'Scenario 1'!$A$2:$M$56</definedName>
    <definedName name="_xlnm.Print_Area" localSheetId="7">'Scenario 2'!$A$2:$M$56</definedName>
    <definedName name="_xlnm.Print_Area" localSheetId="8">'Scenario 3'!$A$2:$M$56</definedName>
    <definedName name="solver_adj" localSheetId="0" hidden="1">Retail!$G$15:$G$16</definedName>
    <definedName name="solver_adj" localSheetId="3" hidden="1">'Sample data Club'!$D$9,'Sample data Club'!$D$10,'Sample data Club'!$D$24:$D$25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ng" localSheetId="0" hidden="1">1</definedName>
    <definedName name="solver_eng" localSheetId="3" hidden="1">1</definedName>
    <definedName name="solver_est" localSheetId="0" hidden="1">1</definedName>
    <definedName name="solver_est" localSheetId="3" hidden="1">1</definedName>
    <definedName name="solver_itr" localSheetId="0" hidden="1">2147483647</definedName>
    <definedName name="solver_itr" localSheetId="3" hidden="1">2147483647</definedName>
    <definedName name="solver_lhs1" localSheetId="0" hidden="1">Retail!$C$31</definedName>
    <definedName name="solver_mip" localSheetId="0" hidden="1">2147483647</definedName>
    <definedName name="solver_mip" localSheetId="3" hidden="1">2147483647</definedName>
    <definedName name="solver_mni" localSheetId="0" hidden="1">30</definedName>
    <definedName name="solver_mni" localSheetId="3" hidden="1">30</definedName>
    <definedName name="solver_mrt" localSheetId="0" hidden="1">0.075</definedName>
    <definedName name="solver_mrt" localSheetId="3" hidden="1">0.075</definedName>
    <definedName name="solver_msl" localSheetId="0" hidden="1">2</definedName>
    <definedName name="solver_msl" localSheetId="3" hidden="1">2</definedName>
    <definedName name="solver_neg" localSheetId="0" hidden="1">1</definedName>
    <definedName name="solver_neg" localSheetId="3" hidden="1">1</definedName>
    <definedName name="solver_nod" localSheetId="0" hidden="1">2147483647</definedName>
    <definedName name="solver_nod" localSheetId="3" hidden="1">2147483647</definedName>
    <definedName name="solver_num" localSheetId="0" hidden="1">0</definedName>
    <definedName name="solver_num" localSheetId="3" hidden="1">0</definedName>
    <definedName name="solver_nwt" localSheetId="0" hidden="1">1</definedName>
    <definedName name="solver_nwt" localSheetId="3" hidden="1">1</definedName>
    <definedName name="solver_opt" localSheetId="0" hidden="1">Retail!$E$36</definedName>
    <definedName name="solver_opt" localSheetId="3" hidden="1">'Sample data Club'!$E$35</definedName>
    <definedName name="solver_pre" localSheetId="0" hidden="1">0.000001</definedName>
    <definedName name="solver_pre" localSheetId="3" hidden="1">0.000001</definedName>
    <definedName name="solver_rbv" localSheetId="0" hidden="1">1</definedName>
    <definedName name="solver_rbv" localSheetId="3" hidden="1">1</definedName>
    <definedName name="solver_rel1" localSheetId="0" hidden="1">2</definedName>
    <definedName name="solver_rhs1" localSheetId="0" hidden="1">100</definedName>
    <definedName name="solver_rlx" localSheetId="0" hidden="1">2</definedName>
    <definedName name="solver_rlx" localSheetId="3" hidden="1">2</definedName>
    <definedName name="solver_rsd" localSheetId="0" hidden="1">0</definedName>
    <definedName name="solver_rsd" localSheetId="3" hidden="1">0</definedName>
    <definedName name="solver_scl" localSheetId="0" hidden="1">1</definedName>
    <definedName name="solver_scl" localSheetId="3" hidden="1">1</definedName>
    <definedName name="solver_sho" localSheetId="0" hidden="1">2</definedName>
    <definedName name="solver_sho" localSheetId="3" hidden="1">2</definedName>
    <definedName name="solver_ssz" localSheetId="0" hidden="1">100</definedName>
    <definedName name="solver_ssz" localSheetId="3" hidden="1">100</definedName>
    <definedName name="solver_tim" localSheetId="0" hidden="1">2147483647</definedName>
    <definedName name="solver_tim" localSheetId="3" hidden="1">2147483647</definedName>
    <definedName name="solver_tol" localSheetId="0" hidden="1">0.01</definedName>
    <definedName name="solver_tol" localSheetId="3" hidden="1">0.01</definedName>
    <definedName name="solver_typ" localSheetId="0" hidden="1">3</definedName>
    <definedName name="solver_typ" localSheetId="3" hidden="1">3</definedName>
    <definedName name="solver_val" localSheetId="0" hidden="1">550000</definedName>
    <definedName name="solver_val" localSheetId="3" hidden="1">250000</definedName>
    <definedName name="solver_ver" localSheetId="0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9" l="1"/>
  <c r="D15" i="2" l="1"/>
  <c r="D14" i="2"/>
  <c r="C55" i="15"/>
  <c r="C51" i="15"/>
  <c r="C50" i="15"/>
  <c r="C54" i="15"/>
  <c r="C56" i="15"/>
  <c r="C49" i="15"/>
  <c r="E44" i="15"/>
  <c r="E55" i="15"/>
  <c r="E43" i="15"/>
  <c r="E41" i="15"/>
  <c r="E40" i="15"/>
  <c r="C36" i="15"/>
  <c r="C35" i="15"/>
  <c r="C38" i="15"/>
  <c r="L34" i="15"/>
  <c r="D31" i="15"/>
  <c r="I30" i="15"/>
  <c r="J30" i="15"/>
  <c r="E30" i="15"/>
  <c r="I29" i="15"/>
  <c r="J29" i="15"/>
  <c r="E29" i="15"/>
  <c r="I28" i="15"/>
  <c r="J28" i="15"/>
  <c r="E28" i="15"/>
  <c r="I27" i="15"/>
  <c r="J27" i="15"/>
  <c r="E27" i="15"/>
  <c r="I26" i="15"/>
  <c r="J26" i="15"/>
  <c r="E26" i="15"/>
  <c r="I25" i="15"/>
  <c r="J25" i="15"/>
  <c r="E25" i="15"/>
  <c r="I24" i="15"/>
  <c r="J24" i="15"/>
  <c r="E24" i="15"/>
  <c r="I23" i="15"/>
  <c r="J23" i="15"/>
  <c r="E23" i="15"/>
  <c r="I22" i="15"/>
  <c r="J22" i="15"/>
  <c r="E22" i="15"/>
  <c r="I21" i="15"/>
  <c r="J21" i="15"/>
  <c r="E21" i="15"/>
  <c r="I20" i="15"/>
  <c r="J20" i="15"/>
  <c r="E20" i="15"/>
  <c r="I19" i="15"/>
  <c r="J19" i="15"/>
  <c r="E19" i="15"/>
  <c r="I18" i="15"/>
  <c r="J18" i="15"/>
  <c r="E18" i="15"/>
  <c r="C17" i="15"/>
  <c r="E17" i="15"/>
  <c r="B17" i="15"/>
  <c r="J16" i="15"/>
  <c r="I16" i="15"/>
  <c r="E16" i="15"/>
  <c r="C16" i="15"/>
  <c r="I15" i="15"/>
  <c r="J15" i="15"/>
  <c r="C15" i="15"/>
  <c r="C11" i="15"/>
  <c r="F21" i="15"/>
  <c r="H10" i="15"/>
  <c r="I10" i="15"/>
  <c r="J10" i="15"/>
  <c r="C10" i="15"/>
  <c r="E10" i="15"/>
  <c r="C9" i="15"/>
  <c r="E8" i="15"/>
  <c r="E9" i="15"/>
  <c r="E7" i="15"/>
  <c r="C7" i="15"/>
  <c r="E6" i="15"/>
  <c r="I4" i="15"/>
  <c r="I3" i="15"/>
  <c r="C55" i="14"/>
  <c r="C51" i="14"/>
  <c r="C49" i="14"/>
  <c r="C50" i="14"/>
  <c r="E44" i="14"/>
  <c r="E55" i="14"/>
  <c r="E43" i="14"/>
  <c r="E41" i="14"/>
  <c r="E40" i="14"/>
  <c r="C35" i="14"/>
  <c r="C36" i="14"/>
  <c r="L34" i="14"/>
  <c r="D31" i="14"/>
  <c r="I30" i="14"/>
  <c r="J30" i="14"/>
  <c r="E30" i="14"/>
  <c r="I29" i="14"/>
  <c r="J29" i="14"/>
  <c r="E29" i="14"/>
  <c r="I28" i="14"/>
  <c r="J28" i="14"/>
  <c r="E28" i="14"/>
  <c r="I27" i="14"/>
  <c r="J27" i="14"/>
  <c r="E27" i="14"/>
  <c r="I26" i="14"/>
  <c r="J26" i="14"/>
  <c r="E26" i="14"/>
  <c r="I25" i="14"/>
  <c r="J25" i="14"/>
  <c r="E25" i="14"/>
  <c r="I24" i="14"/>
  <c r="J24" i="14"/>
  <c r="E24" i="14"/>
  <c r="I23" i="14"/>
  <c r="J23" i="14"/>
  <c r="E23" i="14"/>
  <c r="I22" i="14"/>
  <c r="J22" i="14"/>
  <c r="E22" i="14"/>
  <c r="I21" i="14"/>
  <c r="J21" i="14"/>
  <c r="E21" i="14"/>
  <c r="I20" i="14"/>
  <c r="J20" i="14"/>
  <c r="E20" i="14"/>
  <c r="I19" i="14"/>
  <c r="J19" i="14"/>
  <c r="E19" i="14"/>
  <c r="I18" i="14"/>
  <c r="J18" i="14"/>
  <c r="E18" i="14"/>
  <c r="F17" i="14"/>
  <c r="C17" i="14"/>
  <c r="E17" i="14"/>
  <c r="B17" i="14"/>
  <c r="I16" i="14"/>
  <c r="J16" i="14"/>
  <c r="C16" i="14"/>
  <c r="E16" i="14"/>
  <c r="I15" i="14"/>
  <c r="J15" i="14"/>
  <c r="C15" i="14"/>
  <c r="E15" i="14"/>
  <c r="C11" i="14"/>
  <c r="F30" i="14"/>
  <c r="H10" i="14"/>
  <c r="I10" i="14"/>
  <c r="J10" i="14"/>
  <c r="C10" i="14"/>
  <c r="E10" i="14"/>
  <c r="C9" i="14"/>
  <c r="E8" i="14"/>
  <c r="C7" i="14"/>
  <c r="E7" i="14"/>
  <c r="E6" i="14"/>
  <c r="I4" i="14"/>
  <c r="I3" i="14"/>
  <c r="C7" i="12"/>
  <c r="C16" i="12"/>
  <c r="L34" i="12"/>
  <c r="C17" i="12"/>
  <c r="B17" i="12"/>
  <c r="C15" i="12"/>
  <c r="C9" i="9"/>
  <c r="I3" i="9"/>
  <c r="J4" i="9"/>
  <c r="K4" i="9"/>
  <c r="J3" i="9"/>
  <c r="K3" i="9"/>
  <c r="E9" i="14"/>
  <c r="E11" i="14"/>
  <c r="C38" i="14"/>
  <c r="E15" i="15"/>
  <c r="C52" i="15"/>
  <c r="C57" i="15"/>
  <c r="D55" i="15"/>
  <c r="E11" i="15"/>
  <c r="F27" i="15"/>
  <c r="F17" i="15"/>
  <c r="C31" i="15"/>
  <c r="F19" i="15"/>
  <c r="F23" i="15"/>
  <c r="F29" i="15"/>
  <c r="F16" i="15"/>
  <c r="F25" i="15"/>
  <c r="F15" i="15"/>
  <c r="F18" i="15"/>
  <c r="F20" i="15"/>
  <c r="F22" i="15"/>
  <c r="F24" i="15"/>
  <c r="F26" i="15"/>
  <c r="F28" i="15"/>
  <c r="F30" i="15"/>
  <c r="E34" i="14"/>
  <c r="D55" i="14"/>
  <c r="E31" i="14"/>
  <c r="C52" i="14"/>
  <c r="C54" i="14"/>
  <c r="C56" i="14"/>
  <c r="F19" i="14"/>
  <c r="F23" i="14"/>
  <c r="F25" i="14"/>
  <c r="F27" i="14"/>
  <c r="F29" i="14"/>
  <c r="C31" i="14"/>
  <c r="F18" i="14"/>
  <c r="F22" i="14"/>
  <c r="F24" i="14"/>
  <c r="F28" i="14"/>
  <c r="F21" i="14"/>
  <c r="F16" i="14"/>
  <c r="F15" i="14"/>
  <c r="F20" i="14"/>
  <c r="F26" i="14"/>
  <c r="E31" i="15"/>
  <c r="E34" i="15"/>
  <c r="F34" i="14"/>
  <c r="E49" i="14"/>
  <c r="D34" i="14"/>
  <c r="D49" i="14"/>
  <c r="C57" i="14"/>
  <c r="F34" i="15"/>
  <c r="E49" i="15"/>
  <c r="D34" i="15"/>
  <c r="D49" i="15"/>
  <c r="E50" i="14"/>
  <c r="E51" i="14"/>
  <c r="E50" i="15"/>
  <c r="E51" i="15"/>
  <c r="E52" i="14"/>
  <c r="D50" i="14"/>
  <c r="E54" i="14"/>
  <c r="F55" i="14"/>
  <c r="F51" i="14"/>
  <c r="D51" i="14"/>
  <c r="F49" i="14"/>
  <c r="F51" i="15"/>
  <c r="D51" i="15"/>
  <c r="E52" i="15"/>
  <c r="D50" i="15"/>
  <c r="F55" i="15"/>
  <c r="E54" i="15"/>
  <c r="F49" i="15"/>
  <c r="F54" i="14"/>
  <c r="E56" i="14"/>
  <c r="E57" i="14"/>
  <c r="F57" i="14"/>
  <c r="D54" i="14"/>
  <c r="D56" i="14"/>
  <c r="F52" i="14"/>
  <c r="D52" i="14"/>
  <c r="F54" i="15"/>
  <c r="E56" i="15"/>
  <c r="D54" i="15"/>
  <c r="D56" i="15"/>
  <c r="E57" i="15"/>
  <c r="F57" i="15"/>
  <c r="D52" i="15"/>
  <c r="F52" i="15"/>
  <c r="D57" i="14"/>
  <c r="D57" i="15"/>
  <c r="G17" i="9"/>
  <c r="G17" i="15"/>
  <c r="G17" i="12"/>
  <c r="G17" i="14"/>
  <c r="E7" i="5"/>
  <c r="E6" i="5"/>
  <c r="I17" i="14"/>
  <c r="L35" i="14"/>
  <c r="E35" i="14"/>
  <c r="I17" i="15"/>
  <c r="L35" i="15"/>
  <c r="E35" i="15"/>
  <c r="I4" i="12"/>
  <c r="I3" i="12"/>
  <c r="H10" i="12"/>
  <c r="I10" i="12"/>
  <c r="C55" i="12"/>
  <c r="C49" i="12"/>
  <c r="C50" i="12"/>
  <c r="E44" i="12"/>
  <c r="E55" i="12"/>
  <c r="E43" i="12"/>
  <c r="E41" i="12"/>
  <c r="E40" i="12"/>
  <c r="C35" i="12"/>
  <c r="C36" i="12"/>
  <c r="I30" i="12"/>
  <c r="J30" i="12"/>
  <c r="E30" i="12"/>
  <c r="I29" i="12"/>
  <c r="J29" i="12"/>
  <c r="E29" i="12"/>
  <c r="I28" i="12"/>
  <c r="J28" i="12"/>
  <c r="E28" i="12"/>
  <c r="I27" i="12"/>
  <c r="J27" i="12"/>
  <c r="E27" i="12"/>
  <c r="I26" i="12"/>
  <c r="J26" i="12"/>
  <c r="E26" i="12"/>
  <c r="I25" i="12"/>
  <c r="J25" i="12"/>
  <c r="E25" i="12"/>
  <c r="I24" i="12"/>
  <c r="J24" i="12"/>
  <c r="E24" i="12"/>
  <c r="I23" i="12"/>
  <c r="J23" i="12"/>
  <c r="E23" i="12"/>
  <c r="I22" i="12"/>
  <c r="J22" i="12"/>
  <c r="E22" i="12"/>
  <c r="I21" i="12"/>
  <c r="J21" i="12"/>
  <c r="E21" i="12"/>
  <c r="I20" i="12"/>
  <c r="J20" i="12"/>
  <c r="E20" i="12"/>
  <c r="I19" i="12"/>
  <c r="J19" i="12"/>
  <c r="E19" i="12"/>
  <c r="I18" i="12"/>
  <c r="J18" i="12"/>
  <c r="E18" i="12"/>
  <c r="I17" i="12"/>
  <c r="J17" i="12"/>
  <c r="I16" i="12"/>
  <c r="J16" i="12"/>
  <c r="I15" i="12"/>
  <c r="J15" i="12"/>
  <c r="C31" i="12"/>
  <c r="C10" i="12"/>
  <c r="C11" i="12"/>
  <c r="C9" i="12"/>
  <c r="E8" i="12"/>
  <c r="E7" i="12"/>
  <c r="E6" i="12"/>
  <c r="I10" i="9"/>
  <c r="J10" i="9" s="1"/>
  <c r="E9" i="10"/>
  <c r="C13" i="10"/>
  <c r="D8" i="10"/>
  <c r="C8" i="10"/>
  <c r="E3" i="10"/>
  <c r="F35" i="15"/>
  <c r="D35" i="15"/>
  <c r="J17" i="15"/>
  <c r="L36" i="15"/>
  <c r="E36" i="15"/>
  <c r="L38" i="15"/>
  <c r="E38" i="15"/>
  <c r="F35" i="14"/>
  <c r="D35" i="14"/>
  <c r="J17" i="14"/>
  <c r="L38" i="14"/>
  <c r="E38" i="14"/>
  <c r="L36" i="14"/>
  <c r="E36" i="14"/>
  <c r="E8" i="10"/>
  <c r="C18" i="10"/>
  <c r="E9" i="12"/>
  <c r="E18" i="10"/>
  <c r="C14" i="10"/>
  <c r="C15" i="10"/>
  <c r="D18" i="10"/>
  <c r="C20" i="10"/>
  <c r="C38" i="12"/>
  <c r="C51" i="12"/>
  <c r="C52" i="12"/>
  <c r="J10" i="12"/>
  <c r="E10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L36" i="12"/>
  <c r="C54" i="12"/>
  <c r="C56" i="12"/>
  <c r="D55" i="12"/>
  <c r="F36" i="15"/>
  <c r="D36" i="15"/>
  <c r="F36" i="14"/>
  <c r="D36" i="14"/>
  <c r="F38" i="14"/>
  <c r="C24" i="10"/>
  <c r="D38" i="14"/>
  <c r="D38" i="15"/>
  <c r="F38" i="15"/>
  <c r="C23" i="10"/>
  <c r="E11" i="12"/>
  <c r="E34" i="12"/>
  <c r="D31" i="12"/>
  <c r="E15" i="12"/>
  <c r="F15" i="12"/>
  <c r="F17" i="12"/>
  <c r="E17" i="12"/>
  <c r="F16" i="12"/>
  <c r="E16" i="12"/>
  <c r="C57" i="12"/>
  <c r="C11" i="9"/>
  <c r="I23" i="9"/>
  <c r="J23" i="9"/>
  <c r="I19" i="9"/>
  <c r="J19" i="9"/>
  <c r="I15" i="9"/>
  <c r="J15" i="9"/>
  <c r="C38" i="8"/>
  <c r="C37" i="8"/>
  <c r="C36" i="8"/>
  <c r="C33" i="8"/>
  <c r="C32" i="8"/>
  <c r="C31" i="8"/>
  <c r="C30" i="8"/>
  <c r="C29" i="8"/>
  <c r="C28" i="8"/>
  <c r="C27" i="8"/>
  <c r="C26" i="8"/>
  <c r="C25" i="8"/>
  <c r="C24" i="8"/>
  <c r="C23" i="8"/>
  <c r="F38" i="8"/>
  <c r="F37" i="8"/>
  <c r="F36" i="8"/>
  <c r="F33" i="8"/>
  <c r="F32" i="8"/>
  <c r="F31" i="8"/>
  <c r="F30" i="8"/>
  <c r="F29" i="8"/>
  <c r="F28" i="8"/>
  <c r="F27" i="8"/>
  <c r="F26" i="8"/>
  <c r="F25" i="8"/>
  <c r="F24" i="8"/>
  <c r="F23" i="8"/>
  <c r="C55" i="9"/>
  <c r="E44" i="9"/>
  <c r="E55" i="9"/>
  <c r="E43" i="9"/>
  <c r="E41" i="9"/>
  <c r="E40" i="9"/>
  <c r="I30" i="9"/>
  <c r="J30" i="9"/>
  <c r="I29" i="9"/>
  <c r="J29" i="9"/>
  <c r="I28" i="9"/>
  <c r="J28" i="9"/>
  <c r="I27" i="9"/>
  <c r="J27" i="9"/>
  <c r="I26" i="9"/>
  <c r="J26" i="9"/>
  <c r="I25" i="9"/>
  <c r="J25" i="9"/>
  <c r="I24" i="9"/>
  <c r="J24" i="9"/>
  <c r="I22" i="9"/>
  <c r="J22" i="9"/>
  <c r="I21" i="9"/>
  <c r="J21" i="9"/>
  <c r="I20" i="9"/>
  <c r="J20" i="9"/>
  <c r="I18" i="9"/>
  <c r="J18" i="9"/>
  <c r="I17" i="9"/>
  <c r="I16" i="9"/>
  <c r="J16" i="9"/>
  <c r="E7" i="9"/>
  <c r="E6" i="9"/>
  <c r="D34" i="12"/>
  <c r="D49" i="12"/>
  <c r="F34" i="12"/>
  <c r="E49" i="12"/>
  <c r="E50" i="12"/>
  <c r="E36" i="12"/>
  <c r="F36" i="12"/>
  <c r="L35" i="12"/>
  <c r="E35" i="12"/>
  <c r="L38" i="12"/>
  <c r="E38" i="12"/>
  <c r="F38" i="12"/>
  <c r="C22" i="10"/>
  <c r="E31" i="12"/>
  <c r="E10" i="9"/>
  <c r="D55" i="9"/>
  <c r="E8" i="9"/>
  <c r="E51" i="12"/>
  <c r="D51" i="12"/>
  <c r="D36" i="12"/>
  <c r="D35" i="12"/>
  <c r="F35" i="12"/>
  <c r="F51" i="12"/>
  <c r="E52" i="12"/>
  <c r="D50" i="12"/>
  <c r="E54" i="12"/>
  <c r="F55" i="12"/>
  <c r="D38" i="12"/>
  <c r="F49" i="12"/>
  <c r="F21" i="9"/>
  <c r="F29" i="9"/>
  <c r="F30" i="9"/>
  <c r="F22" i="9"/>
  <c r="F24" i="9"/>
  <c r="F23" i="9"/>
  <c r="F18" i="9"/>
  <c r="F26" i="9"/>
  <c r="F25" i="9"/>
  <c r="F20" i="9"/>
  <c r="F28" i="9"/>
  <c r="F19" i="9"/>
  <c r="F27" i="9"/>
  <c r="F16" i="9"/>
  <c r="F17" i="9"/>
  <c r="E56" i="12"/>
  <c r="F54" i="12"/>
  <c r="D54" i="12"/>
  <c r="D56" i="12"/>
  <c r="F52" i="12"/>
  <c r="E57" i="12"/>
  <c r="F57" i="12"/>
  <c r="D52" i="12"/>
  <c r="B39" i="8"/>
  <c r="A39" i="8"/>
  <c r="B19" i="8"/>
  <c r="G18" i="8"/>
  <c r="A19" i="8"/>
  <c r="F18" i="8"/>
  <c r="C18" i="8"/>
  <c r="F17" i="8"/>
  <c r="C17" i="8"/>
  <c r="F16" i="8"/>
  <c r="C16" i="8"/>
  <c r="F15" i="8"/>
  <c r="C15" i="8"/>
  <c r="F14" i="8"/>
  <c r="C14" i="8"/>
  <c r="F13" i="8"/>
  <c r="C13" i="8"/>
  <c r="F12" i="8"/>
  <c r="C12" i="8"/>
  <c r="F11" i="8"/>
  <c r="C11" i="8"/>
  <c r="F10" i="8"/>
  <c r="C10" i="8"/>
  <c r="F9" i="8"/>
  <c r="C9" i="8"/>
  <c r="F8" i="8"/>
  <c r="C8" i="8"/>
  <c r="F7" i="8"/>
  <c r="C7" i="8"/>
  <c r="F6" i="8"/>
  <c r="C6" i="8"/>
  <c r="F5" i="8"/>
  <c r="C5" i="8"/>
  <c r="F4" i="8"/>
  <c r="C4" i="8"/>
  <c r="F3" i="8"/>
  <c r="C3" i="8"/>
  <c r="J5" i="14"/>
  <c r="K5" i="14"/>
  <c r="J5" i="15"/>
  <c r="K5" i="15"/>
  <c r="D57" i="12"/>
  <c r="J5" i="12"/>
  <c r="K5" i="12"/>
  <c r="G8" i="8"/>
  <c r="G14" i="8"/>
  <c r="G9" i="8"/>
  <c r="G15" i="8"/>
  <c r="G13" i="8"/>
  <c r="G5" i="8"/>
  <c r="G16" i="8"/>
  <c r="G17" i="8"/>
  <c r="G4" i="8"/>
  <c r="G10" i="8"/>
  <c r="G11" i="8"/>
  <c r="G6" i="8"/>
  <c r="G12" i="8"/>
  <c r="G3" i="8"/>
  <c r="G19" i="8"/>
  <c r="G7" i="8"/>
  <c r="D31" i="9"/>
  <c r="F15" i="9"/>
  <c r="G36" i="8"/>
  <c r="E28" i="9"/>
  <c r="G32" i="8"/>
  <c r="E24" i="9"/>
  <c r="G28" i="8"/>
  <c r="E20" i="9"/>
  <c r="G24" i="8"/>
  <c r="E16" i="9"/>
  <c r="K5" i="9"/>
  <c r="G38" i="8"/>
  <c r="E30" i="9"/>
  <c r="G34" i="8"/>
  <c r="E26" i="9"/>
  <c r="G30" i="8"/>
  <c r="E22" i="9"/>
  <c r="G26" i="8"/>
  <c r="E18" i="9"/>
  <c r="G37" i="8"/>
  <c r="E29" i="9"/>
  <c r="G33" i="8"/>
  <c r="E25" i="9"/>
  <c r="G29" i="8"/>
  <c r="E21" i="9"/>
  <c r="G25" i="8"/>
  <c r="E17" i="9"/>
  <c r="G35" i="8"/>
  <c r="E27" i="9"/>
  <c r="G31" i="8"/>
  <c r="E23" i="9"/>
  <c r="G27" i="8"/>
  <c r="E19" i="9"/>
  <c r="G23" i="8"/>
  <c r="F39" i="8"/>
  <c r="C39" i="8"/>
  <c r="C19" i="8"/>
  <c r="F19" i="8"/>
  <c r="G39" i="8"/>
  <c r="C49" i="9"/>
  <c r="C35" i="9"/>
  <c r="E28" i="2"/>
  <c r="C38" i="2"/>
  <c r="E38" i="2"/>
  <c r="C20" i="7"/>
  <c r="E20" i="7"/>
  <c r="E22" i="7"/>
  <c r="E21" i="7"/>
  <c r="E18" i="7"/>
  <c r="E16" i="7"/>
  <c r="E14" i="7"/>
  <c r="C12" i="7"/>
  <c r="E10" i="7"/>
  <c r="E8" i="7"/>
  <c r="E6" i="7"/>
  <c r="E15" i="9"/>
  <c r="C31" i="9"/>
  <c r="L36" i="9"/>
  <c r="C51" i="9"/>
  <c r="C50" i="9"/>
  <c r="C38" i="9"/>
  <c r="C36" i="9"/>
  <c r="E12" i="7"/>
  <c r="D31" i="7"/>
  <c r="C25" i="7"/>
  <c r="H25" i="7"/>
  <c r="E30" i="5"/>
  <c r="E29" i="5"/>
  <c r="E28" i="5"/>
  <c r="E27" i="5"/>
  <c r="E25" i="5"/>
  <c r="E24" i="5"/>
  <c r="E22" i="5"/>
  <c r="E21" i="5"/>
  <c r="E19" i="5"/>
  <c r="E18" i="5"/>
  <c r="C16" i="5"/>
  <c r="C15" i="5"/>
  <c r="E13" i="5"/>
  <c r="E12" i="5"/>
  <c r="E10" i="5"/>
  <c r="E9" i="5"/>
  <c r="C39" i="2"/>
  <c r="E39" i="2"/>
  <c r="E9" i="2"/>
  <c r="E12" i="2"/>
  <c r="E6" i="2"/>
  <c r="E18" i="2"/>
  <c r="E21" i="2"/>
  <c r="E20" i="2"/>
  <c r="E8" i="2"/>
  <c r="E11" i="2"/>
  <c r="E5" i="2"/>
  <c r="E17" i="2"/>
  <c r="E29" i="2"/>
  <c r="E23" i="2"/>
  <c r="E26" i="2"/>
  <c r="E27" i="2"/>
  <c r="C15" i="2"/>
  <c r="C14" i="2"/>
  <c r="C32" i="2"/>
  <c r="E14" i="2"/>
  <c r="C46" i="2"/>
  <c r="E15" i="2"/>
  <c r="E31" i="9"/>
  <c r="L38" i="9"/>
  <c r="L35" i="9"/>
  <c r="C54" i="9"/>
  <c r="C56" i="9"/>
  <c r="C52" i="9"/>
  <c r="H34" i="5"/>
  <c r="C34" i="5"/>
  <c r="C46" i="5"/>
  <c r="H33" i="5"/>
  <c r="I25" i="7"/>
  <c r="E25" i="7"/>
  <c r="E26" i="7"/>
  <c r="F25" i="7"/>
  <c r="D27" i="7"/>
  <c r="C26" i="7"/>
  <c r="E15" i="5"/>
  <c r="E16" i="5"/>
  <c r="D16" i="5"/>
  <c r="D40" i="5"/>
  <c r="C47" i="5"/>
  <c r="C33" i="5"/>
  <c r="C45" i="2"/>
  <c r="C57" i="9"/>
  <c r="H35" i="5"/>
  <c r="C48" i="5"/>
  <c r="C49" i="5"/>
  <c r="E46" i="5"/>
  <c r="D15" i="5"/>
  <c r="C28" i="7"/>
  <c r="E45" i="2"/>
  <c r="D25" i="7"/>
  <c r="C32" i="7"/>
  <c r="F27" i="7"/>
  <c r="D26" i="7"/>
  <c r="E28" i="7"/>
  <c r="F31" i="7"/>
  <c r="E47" i="5"/>
  <c r="E33" i="5"/>
  <c r="D33" i="5"/>
  <c r="E34" i="5"/>
  <c r="E46" i="2"/>
  <c r="C35" i="5"/>
  <c r="E32" i="2"/>
  <c r="C47" i="2"/>
  <c r="C48" i="2"/>
  <c r="I35" i="5"/>
  <c r="C33" i="2"/>
  <c r="E48" i="5"/>
  <c r="E49" i="5"/>
  <c r="E47" i="2"/>
  <c r="E48" i="2"/>
  <c r="C33" i="7"/>
  <c r="D30" i="7"/>
  <c r="D32" i="7"/>
  <c r="E32" i="7"/>
  <c r="E33" i="7"/>
  <c r="F33" i="7"/>
  <c r="F30" i="7"/>
  <c r="F28" i="7"/>
  <c r="D28" i="7"/>
  <c r="D36" i="5"/>
  <c r="E35" i="5"/>
  <c r="D35" i="5"/>
  <c r="D34" i="5"/>
  <c r="C41" i="5"/>
  <c r="C37" i="5"/>
  <c r="D32" i="2"/>
  <c r="E24" i="2"/>
  <c r="E33" i="2"/>
  <c r="E35" i="2"/>
  <c r="C35" i="2"/>
  <c r="C34" i="2"/>
  <c r="D33" i="7"/>
  <c r="D34" i="7"/>
  <c r="F33" i="5"/>
  <c r="F40" i="5"/>
  <c r="E37" i="5"/>
  <c r="D37" i="5"/>
  <c r="F34" i="5"/>
  <c r="D39" i="5"/>
  <c r="D41" i="5"/>
  <c r="F36" i="5"/>
  <c r="C42" i="5"/>
  <c r="E34" i="2"/>
  <c r="F33" i="2"/>
  <c r="D33" i="2"/>
  <c r="D35" i="2"/>
  <c r="C36" i="2"/>
  <c r="C40" i="2"/>
  <c r="F37" i="5"/>
  <c r="F39" i="5"/>
  <c r="E41" i="5"/>
  <c r="E42" i="5"/>
  <c r="F42" i="5"/>
  <c r="F35" i="5"/>
  <c r="D42" i="5"/>
  <c r="D43" i="5"/>
  <c r="D34" i="2"/>
  <c r="F32" i="2"/>
  <c r="F34" i="2"/>
  <c r="E36" i="2"/>
  <c r="F36" i="2"/>
  <c r="F35" i="2"/>
  <c r="C41" i="2"/>
  <c r="F38" i="2"/>
  <c r="D36" i="2"/>
  <c r="E40" i="2"/>
  <c r="E41" i="2"/>
  <c r="F41" i="2"/>
  <c r="F39" i="2"/>
  <c r="D40" i="2"/>
  <c r="D41" i="2"/>
  <c r="D42" i="2"/>
  <c r="E9" i="9" l="1"/>
  <c r="E11" i="9" s="1"/>
  <c r="E36" i="9" s="1"/>
  <c r="D36" i="9" s="1"/>
  <c r="E35" i="9" l="1"/>
  <c r="D35" i="9" s="1"/>
  <c r="E38" i="9"/>
  <c r="F38" i="9" s="1"/>
  <c r="E34" i="9"/>
  <c r="F36" i="9" s="1"/>
  <c r="F34" i="9" l="1"/>
  <c r="D34" i="9"/>
  <c r="D49" i="9" s="1"/>
  <c r="E49" i="9"/>
  <c r="F35" i="9"/>
  <c r="D38" i="9"/>
  <c r="E50" i="9"/>
  <c r="E51" i="9"/>
  <c r="D50" i="9" l="1"/>
  <c r="E54" i="9"/>
  <c r="F55" i="9"/>
  <c r="E52" i="9"/>
  <c r="F49" i="9"/>
  <c r="F51" i="9"/>
  <c r="D51" i="9"/>
  <c r="D52" i="9" l="1"/>
  <c r="F52" i="9"/>
  <c r="F54" i="9"/>
  <c r="E56" i="9"/>
  <c r="E57" i="9" s="1"/>
  <c r="F57" i="9" s="1"/>
  <c r="D54" i="9"/>
  <c r="D56" i="9" s="1"/>
  <c r="D5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geni</author>
    <author>Geni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geni:</t>
        </r>
        <r>
          <rPr>
            <sz val="9"/>
            <color indexed="81"/>
            <rFont val="Tahoma"/>
            <family val="2"/>
          </rPr>
          <t xml:space="preserve">
Enter changes in the yellow cells</t>
        </r>
      </text>
    </comment>
    <comment ref="D13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decimal %</t>
        </r>
      </text>
    </comment>
    <comment ref="H13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dollars per case.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Underhill</author>
  </authors>
  <commentList>
    <comment ref="C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Reflects # of accounts we lose annually.</t>
        </r>
      </text>
    </comment>
    <comment ref="A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How often they purchase.</t>
        </r>
      </text>
    </comment>
    <comment ref="A1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9 liter equivalents</t>
        </r>
      </text>
    </comment>
    <comment ref="A28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Includes all other company costs.  </t>
        </r>
      </text>
    </comment>
    <comment ref="C4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Assumed to be 2% of sales.</t>
        </r>
      </text>
    </comment>
    <comment ref="E47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Assumed to be 2% of sales.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Underhill</author>
    <author>Geni</author>
    <author>tc={5E67D2EE-F41A-4DB6-A14C-E0F29BDF1A24}</author>
  </authors>
  <commentList>
    <comment ref="C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Insert current data in yellow cells.</t>
        </r>
      </text>
    </comment>
    <comment ref="D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Insert your what if in the orange cells.</t>
        </r>
      </text>
    </comment>
    <comment ref="C9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New accounts added
</t>
        </r>
      </text>
    </comment>
    <comment ref="C12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Reflects # of accounts we lose annually.</t>
        </r>
      </text>
    </comment>
    <comment ref="A1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How often they purchase.</t>
        </r>
      </text>
    </comment>
    <comment ref="A2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9 liter equivalents</t>
        </r>
      </text>
    </comment>
    <comment ref="E35" authorId="2" shapeId="0" xr:uid="{5E67D2EE-F41A-4DB6-A14C-E0F29BDF1A24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calculated based oncell D9 or D10 goal seek</t>
      </text>
    </comment>
    <comment ref="C48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Assumed to be 2% of sales.</t>
        </r>
      </text>
    </comment>
    <comment ref="E48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Assumed to be 2% of sales.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Underhill</author>
    <author>Geni</author>
  </authors>
  <commentList>
    <comment ref="C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Insert current data in yellow cells.</t>
        </r>
      </text>
    </comment>
    <comment ref="D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Insert your what if in the orange cells.</t>
        </r>
      </text>
    </comment>
    <comment ref="C8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New accounts added
</t>
        </r>
      </text>
    </comment>
    <comment ref="C10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Reflects # of accounts we lose annually.</t>
        </r>
      </text>
    </comment>
    <comment ref="A13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How often they purchase.</t>
        </r>
      </text>
    </comment>
    <comment ref="A15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Craig Underhill:</t>
        </r>
        <r>
          <rPr>
            <sz val="8"/>
            <color indexed="81"/>
            <rFont val="Tahoma"/>
            <family val="2"/>
          </rPr>
          <t xml:space="preserve">
9 liter equivalents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geni</author>
    <author>Geni</author>
  </authors>
  <commentList>
    <comment ref="D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geni:</t>
        </r>
        <r>
          <rPr>
            <sz val="9"/>
            <color indexed="81"/>
            <rFont val="Tahoma"/>
            <family val="2"/>
          </rPr>
          <t xml:space="preserve">
Enter changes in the yellow cells</t>
        </r>
      </text>
    </comment>
    <comment ref="D13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decimal %</t>
        </r>
      </text>
    </comment>
    <comment ref="H13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dollars per case.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geni</author>
    <author>Geni</author>
  </authors>
  <commentList>
    <comment ref="D4" authorId="0" shapeId="0" xr:uid="{EAC0D9AF-A212-40D7-B830-DBBCC3F82E7F}">
      <text>
        <r>
          <rPr>
            <b/>
            <sz val="9"/>
            <color indexed="81"/>
            <rFont val="Tahoma"/>
            <family val="2"/>
          </rPr>
          <t>geni:</t>
        </r>
        <r>
          <rPr>
            <sz val="9"/>
            <color indexed="81"/>
            <rFont val="Tahoma"/>
            <family val="2"/>
          </rPr>
          <t xml:space="preserve">
Enter changes in the yellow cells</t>
        </r>
      </text>
    </comment>
    <comment ref="D13" authorId="1" shapeId="0" xr:uid="{B7D8B872-14C2-48F5-9F78-A336F146BE68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decimal %</t>
        </r>
      </text>
    </comment>
    <comment ref="H13" authorId="1" shapeId="0" xr:uid="{078DE077-64EA-42D8-B905-CC718C77954A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dollars per case.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geni</author>
    <author>Geni</author>
  </authors>
  <commentList>
    <comment ref="D4" authorId="0" shapeId="0" xr:uid="{C20EDDAB-68C0-4726-B24F-72C7D8A5B1D1}">
      <text>
        <r>
          <rPr>
            <b/>
            <sz val="9"/>
            <color indexed="81"/>
            <rFont val="Tahoma"/>
            <family val="2"/>
          </rPr>
          <t>geni:</t>
        </r>
        <r>
          <rPr>
            <sz val="9"/>
            <color indexed="81"/>
            <rFont val="Tahoma"/>
            <family val="2"/>
          </rPr>
          <t xml:space="preserve">
Enter changes in the yellow cells</t>
        </r>
      </text>
    </comment>
    <comment ref="D13" authorId="1" shapeId="0" xr:uid="{5012F111-9449-4B0D-936D-A0213A9E7DDB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decimal %</t>
        </r>
      </text>
    </comment>
    <comment ref="H13" authorId="1" shapeId="0" xr:uid="{5BD19297-ECE4-4074-84AB-35692DE0DB42}">
      <text>
        <r>
          <rPr>
            <b/>
            <sz val="8"/>
            <color indexed="81"/>
            <rFont val="Tahoma"/>
            <family val="2"/>
          </rPr>
          <t>Geni:</t>
        </r>
        <r>
          <rPr>
            <sz val="8"/>
            <color indexed="81"/>
            <rFont val="Tahoma"/>
            <family val="2"/>
          </rPr>
          <t xml:space="preserve">
Enter as dollars per case.
</t>
        </r>
      </text>
    </comment>
  </commentList>
</comments>
</file>

<file path=xl/sharedStrings.xml><?xml version="1.0" encoding="utf-8"?>
<sst xmlns="http://schemas.openxmlformats.org/spreadsheetml/2006/main" count="524" uniqueCount="147">
  <si>
    <t>What If</t>
  </si>
  <si>
    <t>Current</t>
  </si>
  <si>
    <t>Result</t>
  </si>
  <si>
    <t>Existing # Customers</t>
  </si>
  <si>
    <t xml:space="preserve">                                </t>
  </si>
  <si>
    <t>Acquisition Rate</t>
  </si>
  <si>
    <t>Attrition Rate</t>
  </si>
  <si>
    <r>
      <t xml:space="preserve">x </t>
    </r>
    <r>
      <rPr>
        <b/>
        <sz val="10"/>
        <color indexed="12"/>
        <rFont val="Arial"/>
        <family val="2"/>
      </rPr>
      <t>F</t>
    </r>
    <r>
      <rPr>
        <b/>
        <sz val="10"/>
        <rFont val="Arial"/>
        <family val="2"/>
      </rPr>
      <t>requency</t>
    </r>
  </si>
  <si>
    <r>
      <t>Total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# </t>
    </r>
    <r>
      <rPr>
        <b/>
        <sz val="10"/>
        <rFont val="Arial"/>
        <family val="2"/>
      </rPr>
      <t>Customers</t>
    </r>
  </si>
  <si>
    <t>x Average Cases Sold</t>
  </si>
  <si>
    <t>x Average Case Price</t>
  </si>
  <si>
    <t xml:space="preserve">  Total</t>
  </si>
  <si>
    <t>Operating Expenses</t>
  </si>
  <si>
    <t>Administrative</t>
  </si>
  <si>
    <t xml:space="preserve">  Total Revenue</t>
  </si>
  <si>
    <t>Revenue</t>
  </si>
  <si>
    <t>Cost of Goods Sold</t>
  </si>
  <si>
    <t xml:space="preserve">  Total Operating Expenses</t>
  </si>
  <si>
    <t>DATA INPUT</t>
  </si>
  <si>
    <t>PROFIT PLANNER OUTPUT</t>
  </si>
  <si>
    <t>Incremental Change</t>
  </si>
  <si>
    <t>Cost of Sales</t>
  </si>
  <si>
    <t>Operations</t>
  </si>
  <si>
    <t xml:space="preserve">    Total Gross Profit</t>
  </si>
  <si>
    <t>Samples</t>
  </si>
  <si>
    <t>Production Impact - Estimated Cases Required</t>
  </si>
  <si>
    <t>Retail</t>
  </si>
  <si>
    <t>FOB</t>
  </si>
  <si>
    <t>Operations (% of sales)</t>
  </si>
  <si>
    <t>Industry ----&gt;</t>
  </si>
  <si>
    <t>Number of visitors buying per day</t>
  </si>
  <si>
    <t>Days open</t>
  </si>
  <si>
    <t>Conversion Ratio</t>
  </si>
  <si>
    <t>Average price per case</t>
  </si>
  <si>
    <t>Volume Calculations</t>
  </si>
  <si>
    <t>Average Cases per Customer per day</t>
  </si>
  <si>
    <t>Total cases sold</t>
  </si>
  <si>
    <t>COGS - Cab</t>
  </si>
  <si>
    <t>COGS - Chard</t>
  </si>
  <si>
    <t>Revised average price per case - mix</t>
  </si>
  <si>
    <t>Revised average price per case - price</t>
  </si>
  <si>
    <t>A. Mix</t>
  </si>
  <si>
    <t>A.</t>
  </si>
  <si>
    <t>B.</t>
  </si>
  <si>
    <t>Price Calculations</t>
  </si>
  <si>
    <t>Analysis</t>
  </si>
  <si>
    <t xml:space="preserve">Bottles </t>
  </si>
  <si>
    <t>Cases</t>
  </si>
  <si>
    <t>Increase</t>
  </si>
  <si>
    <t>Costs</t>
  </si>
  <si>
    <t>.</t>
  </si>
  <si>
    <t>Volume Change</t>
  </si>
  <si>
    <t>PROFIT PLANNER - Volume</t>
  </si>
  <si>
    <t>Wine Club</t>
  </si>
  <si>
    <t>E-commerce</t>
  </si>
  <si>
    <t>Wine Club - Basic</t>
  </si>
  <si>
    <t>Wine Club - Basic 10% disc</t>
  </si>
  <si>
    <t>Cab</t>
  </si>
  <si>
    <t>Chard</t>
  </si>
  <si>
    <t>COGS in Dollars</t>
  </si>
  <si>
    <t>Existing # Cases</t>
  </si>
  <si>
    <r>
      <t>Total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# </t>
    </r>
    <r>
      <rPr>
        <b/>
        <sz val="10"/>
        <rFont val="Arial"/>
        <family val="2"/>
      </rPr>
      <t>Cases</t>
    </r>
  </si>
  <si>
    <t>Wine Club - KIN</t>
  </si>
  <si>
    <t>Wine Club - KIN 20% disc</t>
  </si>
  <si>
    <t>Cases sold</t>
  </si>
  <si>
    <t>Avg per Case Price</t>
  </si>
  <si>
    <t>Incremental</t>
  </si>
  <si>
    <t>Online</t>
  </si>
  <si>
    <t>Online - Chardonnay Only</t>
  </si>
  <si>
    <t>Administrative - fixed costs</t>
  </si>
  <si>
    <t>Online sales</t>
  </si>
  <si>
    <t>Channel Mix</t>
  </si>
  <si>
    <r>
      <t xml:space="preserve">Le Cou Rouge Winery Profit Equation Planner   </t>
    </r>
    <r>
      <rPr>
        <b/>
        <sz val="8"/>
        <rFont val="Arial"/>
        <family val="2"/>
      </rPr>
      <t xml:space="preserve">  </t>
    </r>
  </si>
  <si>
    <t>Wine Club - Basic (3 bottles)</t>
  </si>
  <si>
    <t>Wine Club - KIN (6 bottles)</t>
  </si>
  <si>
    <t>Online (2 bottles)</t>
  </si>
  <si>
    <t>Revenu</t>
  </si>
  <si>
    <t xml:space="preserve">Average Number of visitors per day </t>
  </si>
  <si>
    <t>Visitors</t>
  </si>
  <si>
    <t>Buyers</t>
  </si>
  <si>
    <t>Year</t>
  </si>
  <si>
    <t>Month</t>
  </si>
  <si>
    <t>Sales $</t>
  </si>
  <si>
    <t>Qty (9L)</t>
  </si>
  <si>
    <t>SKU</t>
  </si>
  <si>
    <t>Description</t>
  </si>
  <si>
    <t>Case Price</t>
  </si>
  <si>
    <t>Bottle</t>
  </si>
  <si>
    <t xml:space="preserve"> Chg in Cases</t>
  </si>
  <si>
    <t>Revised $/Bottle</t>
  </si>
  <si>
    <t>B. Pricing per Case/Discounts</t>
  </si>
  <si>
    <t>Revised average price per case - mix+price</t>
  </si>
  <si>
    <t>C.</t>
  </si>
  <si>
    <t>Percentage</t>
  </si>
  <si>
    <t>Monthly revenue impact of volume increase</t>
  </si>
  <si>
    <t>Monthly revenue impact of mix change</t>
  </si>
  <si>
    <t>Monthly revenue impact of price increase</t>
  </si>
  <si>
    <t>Combined monthly revenue impact of mix + price increase</t>
  </si>
  <si>
    <t>SAMPLE</t>
  </si>
  <si>
    <t>Cases per buyer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</si>
  <si>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</si>
  <si>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</si>
  <si>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</si>
  <si>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</si>
  <si>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</si>
  <si>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</si>
  <si>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</si>
  <si>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</si>
  <si>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</si>
  <si>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</si>
  <si>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</si>
  <si>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</si>
  <si>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</si>
  <si>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Monthly Results</t>
  </si>
  <si>
    <t>Annual Results</t>
  </si>
  <si>
    <r>
      <t xml:space="preserve">Profit Equation Planner   </t>
    </r>
    <r>
      <rPr>
        <b/>
        <sz val="8"/>
        <color rgb="FFFF0000"/>
        <rFont val="Arial"/>
        <family val="2"/>
      </rPr>
      <t xml:space="preserve">  - Overall Model - Sample DATA only</t>
    </r>
  </si>
  <si>
    <t xml:space="preserve">SAMPLE Retail Profit Equation Planner </t>
  </si>
  <si>
    <t>Chardonnay</t>
  </si>
  <si>
    <t>Cabernet</t>
  </si>
  <si>
    <t>Trade</t>
  </si>
  <si>
    <t>DTC</t>
  </si>
  <si>
    <t>Total</t>
  </si>
  <si>
    <t># Cases</t>
  </si>
  <si>
    <t>Price per Case</t>
  </si>
  <si>
    <t xml:space="preserve">Variable </t>
  </si>
  <si>
    <t>Direct Costs</t>
  </si>
  <si>
    <t>Cost per Case</t>
  </si>
  <si>
    <t>Profit per Case</t>
  </si>
  <si>
    <t>Sales &amp; Marketing</t>
  </si>
  <si>
    <t>Budget $</t>
  </si>
  <si>
    <t>Net Investment</t>
  </si>
  <si>
    <t>Profit Per Case</t>
  </si>
  <si>
    <t xml:space="preserve">Profit Potential </t>
  </si>
  <si>
    <t>Investment</t>
  </si>
  <si>
    <t>ROI</t>
  </si>
  <si>
    <t>Break Even Number of Units</t>
  </si>
  <si>
    <t>300 more cases</t>
  </si>
  <si>
    <t>Scenario 1</t>
  </si>
  <si>
    <t>Scenario 3</t>
  </si>
  <si>
    <t>Scenario 2</t>
  </si>
  <si>
    <t>10% conversion of existing cases</t>
  </si>
  <si>
    <t>Sample - adding SB  at $10 per bottle</t>
  </si>
  <si>
    <t>Add new buyers, but dilute the mix</t>
  </si>
  <si>
    <t>Cab Franc</t>
  </si>
  <si>
    <t>SB</t>
  </si>
  <si>
    <t>+300 incremental cases with 3 new buyers</t>
  </si>
  <si>
    <r>
      <t>Le Cou Rouge Winery  Profit Equation Planner</t>
    </r>
    <r>
      <rPr>
        <b/>
        <sz val="20"/>
        <rFont val="Calibri"/>
        <family val="2"/>
      </rPr>
      <t>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</si>
</sst>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0.0000"/>
    <numFmt numFmtId="170" formatCode="_(* #,##0.0000_);_(* \(#,##0.0000\);_(* &quot;-&quot;??_);_(@_)"/>
    <numFmt numFmtId="171" formatCode="_(&quot;$&quot;* #,##0.0_);_(&quot;$&quot;* \(#,##0.0\);_(&quot;$&quot;* &quot;-&quot;?_);_(@_)"/>
    <numFmt numFmtId="172" formatCode="0.000%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5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 tint="-0.49998474074526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2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F3ED"/>
        <bgColor indexed="64"/>
      </patternFill>
    </fill>
    <fill>
      <patternFill patternType="solid">
        <fgColor rgb="FFF6F9F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EF4E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72A376"/>
      </left>
      <right style="medium">
        <color rgb="FF72A376"/>
      </right>
      <top style="medium">
        <color rgb="FF72A376"/>
      </top>
      <bottom style="medium">
        <color rgb="FF72A376"/>
      </bottom>
      <diagonal/>
    </border>
    <border>
      <left style="medium">
        <color rgb="FF72A376"/>
      </left>
      <right style="medium">
        <color rgb="FF72A376"/>
      </right>
      <top style="medium">
        <color rgb="FF72A376"/>
      </top>
      <bottom/>
      <diagonal/>
    </border>
    <border>
      <left style="medium">
        <color rgb="FF72A376"/>
      </left>
      <right style="medium">
        <color rgb="FF72A376"/>
      </right>
      <top/>
      <bottom style="medium">
        <color rgb="FF72A376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166" fontId="0" fillId="0" borderId="0" xfId="1" applyNumberFormat="1" applyFont="1" applyAlignment="1">
      <alignment horizontal="right"/>
    </xf>
    <xf numFmtId="166" fontId="0" fillId="0" borderId="0" xfId="1" applyNumberFormat="1" applyFont="1"/>
    <xf numFmtId="0" fontId="13" fillId="0" borderId="0" xfId="0" applyFont="1"/>
    <xf numFmtId="166" fontId="13" fillId="0" borderId="2" xfId="1" applyNumberFormat="1" applyFont="1" applyFill="1" applyBorder="1" applyProtection="1">
      <protection locked="0"/>
    </xf>
    <xf numFmtId="0" fontId="12" fillId="0" borderId="0" xfId="0" applyFont="1"/>
    <xf numFmtId="0" fontId="15" fillId="0" borderId="0" xfId="0" applyFont="1"/>
    <xf numFmtId="0" fontId="3" fillId="0" borderId="0" xfId="0" applyFont="1" applyBorder="1" applyAlignment="1">
      <alignment horizontal="center"/>
    </xf>
    <xf numFmtId="167" fontId="11" fillId="0" borderId="0" xfId="2" applyNumberFormat="1" applyFont="1" applyFill="1" applyBorder="1" applyProtection="1">
      <protection locked="0"/>
    </xf>
    <xf numFmtId="10" fontId="11" fillId="0" borderId="0" xfId="3" applyNumberFormat="1" applyFont="1" applyFill="1" applyBorder="1" applyProtection="1">
      <protection locked="0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6" fontId="3" fillId="0" borderId="0" xfId="1" applyNumberFormat="1" applyFont="1" applyFill="1" applyBorder="1"/>
    <xf numFmtId="167" fontId="3" fillId="0" borderId="0" xfId="2" applyNumberFormat="1" applyFont="1" applyFill="1" applyBorder="1"/>
    <xf numFmtId="10" fontId="13" fillId="0" borderId="0" xfId="3" applyNumberFormat="1" applyFont="1" applyFill="1" applyBorder="1" applyProtection="1">
      <protection locked="0"/>
    </xf>
    <xf numFmtId="165" fontId="13" fillId="0" borderId="0" xfId="1" applyNumberFormat="1" applyFont="1"/>
    <xf numFmtId="164" fontId="11" fillId="0" borderId="0" xfId="3" applyNumberFormat="1" applyFont="1" applyFill="1" applyBorder="1" applyProtection="1">
      <protection locked="0"/>
    </xf>
    <xf numFmtId="166" fontId="16" fillId="0" borderId="3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6" fontId="17" fillId="0" borderId="0" xfId="1" applyNumberFormat="1" applyFont="1" applyFill="1" applyBorder="1"/>
    <xf numFmtId="164" fontId="19" fillId="0" borderId="0" xfId="3" applyNumberFormat="1" applyFont="1" applyFill="1" applyBorder="1"/>
    <xf numFmtId="166" fontId="13" fillId="0" borderId="5" xfId="1" applyNumberFormat="1" applyFont="1" applyFill="1" applyBorder="1"/>
    <xf numFmtId="166" fontId="3" fillId="0" borderId="5" xfId="1" applyNumberFormat="1" applyFont="1" applyFill="1" applyBorder="1"/>
    <xf numFmtId="166" fontId="13" fillId="0" borderId="1" xfId="1" applyNumberFormat="1" applyFont="1" applyFill="1" applyBorder="1"/>
    <xf numFmtId="166" fontId="3" fillId="0" borderId="6" xfId="1" applyNumberFormat="1" applyFont="1" applyBorder="1" applyAlignment="1">
      <alignment horizontal="center"/>
    </xf>
    <xf numFmtId="167" fontId="9" fillId="0" borderId="0" xfId="2" applyNumberFormat="1" applyFont="1" applyFill="1" applyBorder="1"/>
    <xf numFmtId="9" fontId="0" fillId="0" borderId="0" xfId="3" applyFont="1"/>
    <xf numFmtId="9" fontId="13" fillId="0" borderId="0" xfId="3" applyFont="1"/>
    <xf numFmtId="9" fontId="0" fillId="0" borderId="0" xfId="3" applyFont="1" applyAlignment="1">
      <alignment horizontal="left"/>
    </xf>
    <xf numFmtId="9" fontId="3" fillId="0" borderId="0" xfId="3" applyFont="1"/>
    <xf numFmtId="9" fontId="0" fillId="0" borderId="1" xfId="3" applyFont="1" applyBorder="1"/>
    <xf numFmtId="0" fontId="9" fillId="0" borderId="0" xfId="0" applyFont="1" applyBorder="1" applyAlignment="1">
      <alignment horizontal="center"/>
    </xf>
    <xf numFmtId="9" fontId="0" fillId="0" borderId="7" xfId="3" applyFont="1" applyBorder="1"/>
    <xf numFmtId="167" fontId="3" fillId="0" borderId="0" xfId="2" applyNumberFormat="1" applyFont="1" applyFill="1" applyBorder="1" applyAlignment="1">
      <alignment horizontal="center"/>
    </xf>
    <xf numFmtId="10" fontId="16" fillId="2" borderId="2" xfId="3" applyNumberFormat="1" applyFont="1" applyFill="1" applyBorder="1" applyProtection="1">
      <protection locked="0"/>
    </xf>
    <xf numFmtId="43" fontId="13" fillId="2" borderId="2" xfId="1" applyNumberFormat="1" applyFont="1" applyFill="1" applyBorder="1" applyProtection="1">
      <protection locked="0"/>
    </xf>
    <xf numFmtId="165" fontId="13" fillId="2" borderId="2" xfId="1" applyNumberFormat="1" applyFont="1" applyFill="1" applyBorder="1" applyProtection="1">
      <protection locked="0"/>
    </xf>
    <xf numFmtId="13" fontId="13" fillId="2" borderId="2" xfId="1" applyNumberFormat="1" applyFont="1" applyFill="1" applyBorder="1" applyAlignment="1" applyProtection="1">
      <protection locked="0"/>
    </xf>
    <xf numFmtId="167" fontId="13" fillId="2" borderId="2" xfId="2" applyNumberFormat="1" applyFont="1" applyFill="1" applyBorder="1" applyProtection="1">
      <protection locked="0"/>
    </xf>
    <xf numFmtId="164" fontId="13" fillId="2" borderId="2" xfId="3" applyNumberFormat="1" applyFont="1" applyFill="1" applyBorder="1" applyProtection="1">
      <protection locked="0"/>
    </xf>
    <xf numFmtId="167" fontId="16" fillId="2" borderId="2" xfId="2" applyNumberFormat="1" applyFont="1" applyFill="1" applyBorder="1" applyProtection="1">
      <protection locked="0"/>
    </xf>
    <xf numFmtId="0" fontId="23" fillId="0" borderId="0" xfId="0" applyFont="1"/>
    <xf numFmtId="0" fontId="25" fillId="0" borderId="0" xfId="0" applyFont="1"/>
    <xf numFmtId="9" fontId="13" fillId="0" borderId="0" xfId="0" applyNumberFormat="1" applyFont="1" applyBorder="1" applyAlignment="1">
      <alignment horizontal="right"/>
    </xf>
    <xf numFmtId="44" fontId="0" fillId="0" borderId="0" xfId="2" applyFont="1"/>
    <xf numFmtId="9" fontId="13" fillId="0" borderId="0" xfId="3" applyFont="1" applyBorder="1" applyAlignment="1">
      <alignment horizontal="right"/>
    </xf>
    <xf numFmtId="0" fontId="13" fillId="0" borderId="0" xfId="0" applyFont="1" applyAlignment="1">
      <alignment horizontal="left" indent="1"/>
    </xf>
    <xf numFmtId="0" fontId="27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center"/>
    </xf>
    <xf numFmtId="166" fontId="19" fillId="0" borderId="0" xfId="1" applyNumberFormat="1" applyFont="1" applyFill="1" applyBorder="1"/>
    <xf numFmtId="0" fontId="3" fillId="0" borderId="0" xfId="0" applyFont="1" applyFill="1" applyBorder="1"/>
    <xf numFmtId="167" fontId="13" fillId="0" borderId="0" xfId="2" applyNumberFormat="1" applyFont="1" applyFill="1" applyBorder="1" applyProtection="1">
      <protection locked="0"/>
    </xf>
    <xf numFmtId="164" fontId="13" fillId="0" borderId="0" xfId="3" applyNumberFormat="1" applyFont="1" applyFill="1" applyBorder="1" applyProtection="1">
      <protection locked="0"/>
    </xf>
    <xf numFmtId="167" fontId="16" fillId="0" borderId="0" xfId="2" applyNumberFormat="1" applyFont="1" applyFill="1" applyBorder="1" applyProtection="1">
      <protection locked="0"/>
    </xf>
    <xf numFmtId="9" fontId="13" fillId="0" borderId="0" xfId="3" applyFont="1" applyFill="1"/>
    <xf numFmtId="9" fontId="0" fillId="0" borderId="0" xfId="3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29" fillId="5" borderId="1" xfId="0" applyFont="1" applyFill="1" applyBorder="1" applyAlignment="1">
      <alignment horizontal="center"/>
    </xf>
    <xf numFmtId="166" fontId="30" fillId="0" borderId="0" xfId="1" applyNumberFormat="1" applyFont="1" applyFill="1" applyBorder="1" applyProtection="1">
      <protection locked="0"/>
    </xf>
    <xf numFmtId="166" fontId="30" fillId="0" borderId="0" xfId="1" applyNumberFormat="1" applyFont="1" applyFill="1" applyBorder="1"/>
    <xf numFmtId="166" fontId="31" fillId="0" borderId="0" xfId="1" applyNumberFormat="1" applyFont="1" applyFill="1" applyBorder="1" applyProtection="1">
      <protection locked="0"/>
    </xf>
    <xf numFmtId="166" fontId="31" fillId="0" borderId="0" xfId="1" applyNumberFormat="1" applyFont="1" applyFill="1" applyBorder="1"/>
    <xf numFmtId="166" fontId="30" fillId="0" borderId="1" xfId="1" applyNumberFormat="1" applyFont="1" applyFill="1" applyBorder="1"/>
    <xf numFmtId="167" fontId="24" fillId="3" borderId="4" xfId="2" applyNumberFormat="1" applyFont="1" applyFill="1" applyBorder="1"/>
    <xf numFmtId="167" fontId="32" fillId="3" borderId="4" xfId="2" applyNumberFormat="1" applyFont="1" applyFill="1" applyBorder="1"/>
    <xf numFmtId="167" fontId="24" fillId="0" borderId="0" xfId="2" applyNumberFormat="1" applyFont="1" applyFill="1" applyBorder="1"/>
    <xf numFmtId="9" fontId="32" fillId="0" borderId="0" xfId="3" applyFont="1" applyFill="1" applyBorder="1"/>
    <xf numFmtId="167" fontId="24" fillId="0" borderId="0" xfId="2" applyNumberFormat="1" applyFont="1" applyFill="1" applyBorder="1" applyAlignment="1">
      <alignment horizontal="center"/>
    </xf>
    <xf numFmtId="167" fontId="24" fillId="3" borderId="9" xfId="2" applyNumberFormat="1" applyFont="1" applyFill="1" applyBorder="1"/>
    <xf numFmtId="9" fontId="0" fillId="0" borderId="0" xfId="3" applyFont="1" applyBorder="1" applyAlignment="1">
      <alignment horizontal="right"/>
    </xf>
    <xf numFmtId="164" fontId="26" fillId="2" borderId="2" xfId="3" applyNumberFormat="1" applyFont="1" applyFill="1" applyBorder="1" applyAlignment="1">
      <alignment horizontal="right"/>
    </xf>
    <xf numFmtId="166" fontId="31" fillId="0" borderId="2" xfId="1" applyNumberFormat="1" applyFont="1" applyFill="1" applyBorder="1"/>
    <xf numFmtId="164" fontId="13" fillId="8" borderId="2" xfId="3" applyNumberFormat="1" applyFont="1" applyFill="1" applyBorder="1" applyProtection="1">
      <protection locked="0"/>
    </xf>
    <xf numFmtId="166" fontId="30" fillId="0" borderId="3" xfId="1" applyNumberFormat="1" applyFont="1" applyFill="1" applyBorder="1"/>
    <xf numFmtId="164" fontId="30" fillId="0" borderId="0" xfId="3" applyNumberFormat="1" applyFont="1" applyFill="1" applyBorder="1"/>
    <xf numFmtId="165" fontId="13" fillId="8" borderId="2" xfId="1" applyNumberFormat="1" applyFont="1" applyFill="1" applyBorder="1" applyProtection="1">
      <protection locked="0"/>
    </xf>
    <xf numFmtId="166" fontId="13" fillId="8" borderId="2" xfId="1" applyNumberFormat="1" applyFont="1" applyFill="1" applyBorder="1" applyProtection="1">
      <protection locked="0"/>
    </xf>
    <xf numFmtId="166" fontId="30" fillId="0" borderId="0" xfId="1" applyNumberFormat="1" applyFont="1" applyFill="1" applyBorder="1" applyAlignment="1">
      <alignment horizontal="right"/>
    </xf>
    <xf numFmtId="9" fontId="13" fillId="8" borderId="2" xfId="0" applyNumberFormat="1" applyFont="1" applyFill="1" applyBorder="1" applyAlignment="1">
      <alignment horizontal="right"/>
    </xf>
    <xf numFmtId="10" fontId="13" fillId="8" borderId="2" xfId="3" applyNumberFormat="1" applyFont="1" applyFill="1" applyBorder="1" applyProtection="1">
      <protection locked="0"/>
    </xf>
    <xf numFmtId="166" fontId="13" fillId="8" borderId="2" xfId="1" applyNumberFormat="1" applyFont="1" applyFill="1" applyBorder="1" applyAlignment="1" applyProtection="1">
      <alignment horizontal="right"/>
      <protection locked="0"/>
    </xf>
    <xf numFmtId="167" fontId="13" fillId="8" borderId="2" xfId="2" applyNumberFormat="1" applyFont="1" applyFill="1" applyBorder="1" applyProtection="1">
      <protection locked="0"/>
    </xf>
    <xf numFmtId="167" fontId="30" fillId="8" borderId="0" xfId="2" applyNumberFormat="1" applyFont="1" applyFill="1" applyBorder="1" applyProtection="1">
      <protection locked="0"/>
    </xf>
    <xf numFmtId="166" fontId="30" fillId="8" borderId="0" xfId="1" applyNumberFormat="1" applyFont="1" applyFill="1" applyBorder="1" applyProtection="1">
      <protection locked="0"/>
    </xf>
    <xf numFmtId="166" fontId="3" fillId="0" borderId="1" xfId="1" applyNumberFormat="1" applyFont="1" applyFill="1" applyBorder="1"/>
    <xf numFmtId="167" fontId="9" fillId="7" borderId="4" xfId="2" applyNumberFormat="1" applyFont="1" applyFill="1" applyBorder="1"/>
    <xf numFmtId="10" fontId="31" fillId="0" borderId="0" xfId="3" applyNumberFormat="1" applyFont="1" applyFill="1" applyBorder="1"/>
    <xf numFmtId="10" fontId="31" fillId="0" borderId="2" xfId="3" applyNumberFormat="1" applyFont="1" applyFill="1" applyBorder="1"/>
    <xf numFmtId="0" fontId="31" fillId="0" borderId="0" xfId="0" applyFont="1" applyFill="1"/>
    <xf numFmtId="166" fontId="31" fillId="0" borderId="3" xfId="1" applyNumberFormat="1" applyFont="1" applyFill="1" applyBorder="1"/>
    <xf numFmtId="43" fontId="31" fillId="0" borderId="2" xfId="1" applyNumberFormat="1" applyFont="1" applyFill="1" applyBorder="1"/>
    <xf numFmtId="165" fontId="31" fillId="0" borderId="2" xfId="1" applyNumberFormat="1" applyFont="1" applyFill="1" applyBorder="1"/>
    <xf numFmtId="165" fontId="31" fillId="0" borderId="0" xfId="1" applyNumberFormat="1" applyFont="1" applyFill="1"/>
    <xf numFmtId="167" fontId="31" fillId="0" borderId="2" xfId="2" applyNumberFormat="1" applyFont="1" applyFill="1" applyBorder="1"/>
    <xf numFmtId="164" fontId="31" fillId="0" borderId="2" xfId="3" applyNumberFormat="1" applyFont="1" applyFill="1" applyBorder="1"/>
    <xf numFmtId="166" fontId="31" fillId="0" borderId="5" xfId="1" applyNumberFormat="1" applyFont="1" applyFill="1" applyBorder="1"/>
    <xf numFmtId="166" fontId="30" fillId="0" borderId="5" xfId="1" applyNumberFormat="1" applyFont="1" applyFill="1" applyBorder="1"/>
    <xf numFmtId="164" fontId="30" fillId="0" borderId="0" xfId="3" applyNumberFormat="1" applyFont="1" applyFill="1" applyBorder="1" applyProtection="1">
      <protection locked="0"/>
    </xf>
    <xf numFmtId="166" fontId="30" fillId="0" borderId="0" xfId="1" applyNumberFormat="1" applyFont="1" applyFill="1"/>
    <xf numFmtId="0" fontId="0" fillId="9" borderId="0" xfId="0" applyFill="1"/>
    <xf numFmtId="0" fontId="13" fillId="9" borderId="0" xfId="0" applyFont="1" applyFill="1"/>
    <xf numFmtId="44" fontId="0" fillId="9" borderId="0" xfId="2" applyFont="1" applyFill="1"/>
    <xf numFmtId="0" fontId="3" fillId="9" borderId="0" xfId="0" applyFont="1" applyFill="1" applyAlignment="1">
      <alignment horizontal="center"/>
    </xf>
    <xf numFmtId="168" fontId="0" fillId="9" borderId="0" xfId="0" applyNumberFormat="1" applyFill="1"/>
    <xf numFmtId="166" fontId="3" fillId="10" borderId="2" xfId="1" applyNumberFormat="1" applyFont="1" applyFill="1" applyBorder="1"/>
    <xf numFmtId="10" fontId="3" fillId="10" borderId="2" xfId="3" applyNumberFormat="1" applyFont="1" applyFill="1" applyBorder="1"/>
    <xf numFmtId="0" fontId="3" fillId="10" borderId="0" xfId="0" applyFont="1" applyFill="1"/>
    <xf numFmtId="10" fontId="3" fillId="10" borderId="0" xfId="3" applyNumberFormat="1" applyFont="1" applyFill="1" applyBorder="1"/>
    <xf numFmtId="166" fontId="3" fillId="10" borderId="3" xfId="1" applyNumberFormat="1" applyFont="1" applyFill="1" applyBorder="1"/>
    <xf numFmtId="43" fontId="3" fillId="10" borderId="2" xfId="1" applyNumberFormat="1" applyFont="1" applyFill="1" applyBorder="1"/>
    <xf numFmtId="165" fontId="3" fillId="10" borderId="2" xfId="1" applyNumberFormat="1" applyFont="1" applyFill="1" applyBorder="1"/>
    <xf numFmtId="165" fontId="3" fillId="10" borderId="0" xfId="1" applyNumberFormat="1" applyFont="1" applyFill="1"/>
    <xf numFmtId="167" fontId="3" fillId="10" borderId="2" xfId="2" applyNumberFormat="1" applyFont="1" applyFill="1" applyBorder="1"/>
    <xf numFmtId="164" fontId="3" fillId="10" borderId="2" xfId="3" applyNumberFormat="1" applyFont="1" applyFill="1" applyBorder="1"/>
    <xf numFmtId="166" fontId="13" fillId="10" borderId="3" xfId="1" applyNumberFormat="1" applyFont="1" applyFill="1" applyBorder="1"/>
    <xf numFmtId="167" fontId="13" fillId="10" borderId="0" xfId="2" applyNumberFormat="1" applyFont="1" applyFill="1" applyBorder="1" applyProtection="1">
      <protection locked="0"/>
    </xf>
    <xf numFmtId="166" fontId="13" fillId="10" borderId="0" xfId="1" applyNumberFormat="1" applyFont="1" applyFill="1" applyBorder="1"/>
    <xf numFmtId="167" fontId="3" fillId="10" borderId="0" xfId="2" applyNumberFormat="1" applyFont="1" applyFill="1" applyBorder="1" applyProtection="1">
      <protection locked="0"/>
    </xf>
    <xf numFmtId="166" fontId="13" fillId="10" borderId="0" xfId="1" applyNumberFormat="1" applyFont="1" applyFill="1" applyBorder="1" applyProtection="1">
      <protection locked="0"/>
    </xf>
    <xf numFmtId="166" fontId="3" fillId="10" borderId="0" xfId="1" applyNumberFormat="1" applyFont="1" applyFill="1" applyBorder="1" applyProtection="1">
      <protection locked="0"/>
    </xf>
    <xf numFmtId="166" fontId="13" fillId="10" borderId="1" xfId="1" applyNumberFormat="1" applyFont="1" applyFill="1" applyBorder="1"/>
    <xf numFmtId="166" fontId="3" fillId="10" borderId="0" xfId="1" applyNumberFormat="1" applyFont="1" applyFill="1" applyBorder="1"/>
    <xf numFmtId="167" fontId="9" fillId="3" borderId="4" xfId="2" applyNumberFormat="1" applyFont="1" applyFill="1" applyBorder="1"/>
    <xf numFmtId="166" fontId="13" fillId="10" borderId="0" xfId="1" applyNumberFormat="1" applyFont="1" applyFill="1"/>
    <xf numFmtId="43" fontId="13" fillId="8" borderId="2" xfId="1" applyNumberFormat="1" applyFont="1" applyFill="1" applyBorder="1" applyAlignment="1" applyProtection="1">
      <alignment horizontal="right"/>
      <protection locked="0"/>
    </xf>
    <xf numFmtId="0" fontId="3" fillId="9" borderId="0" xfId="0" applyFont="1" applyFill="1"/>
    <xf numFmtId="0" fontId="3" fillId="9" borderId="0" xfId="0" applyFont="1" applyFill="1" applyAlignment="1">
      <alignment horizontal="centerContinuous"/>
    </xf>
    <xf numFmtId="0" fontId="13" fillId="9" borderId="0" xfId="0" applyFont="1" applyFill="1" applyAlignment="1">
      <alignment horizontal="center"/>
    </xf>
    <xf numFmtId="165" fontId="13" fillId="2" borderId="2" xfId="1" applyNumberFormat="1" applyFont="1" applyFill="1" applyBorder="1" applyAlignment="1" applyProtection="1">
      <protection locked="0"/>
    </xf>
    <xf numFmtId="43" fontId="13" fillId="2" borderId="2" xfId="1" applyNumberFormat="1" applyFont="1" applyFill="1" applyBorder="1" applyAlignment="1" applyProtection="1">
      <protection locked="0"/>
    </xf>
    <xf numFmtId="43" fontId="3" fillId="10" borderId="2" xfId="1" applyFont="1" applyFill="1" applyBorder="1"/>
    <xf numFmtId="43" fontId="13" fillId="8" borderId="2" xfId="1" applyFont="1" applyFill="1" applyBorder="1" applyProtection="1">
      <protection locked="0"/>
    </xf>
    <xf numFmtId="167" fontId="34" fillId="2" borderId="2" xfId="2" applyNumberFormat="1" applyFont="1" applyFill="1" applyBorder="1" applyProtection="1">
      <protection locked="0"/>
    </xf>
    <xf numFmtId="9" fontId="34" fillId="2" borderId="2" xfId="3" applyFont="1" applyFill="1" applyBorder="1" applyProtection="1">
      <protection locked="0"/>
    </xf>
    <xf numFmtId="166" fontId="0" fillId="0" borderId="0" xfId="0" applyNumberFormat="1"/>
    <xf numFmtId="9" fontId="34" fillId="2" borderId="10" xfId="3" applyFont="1" applyFill="1" applyBorder="1" applyProtection="1">
      <protection locked="0"/>
    </xf>
    <xf numFmtId="0" fontId="3" fillId="0" borderId="0" xfId="0" applyFont="1" applyBorder="1"/>
    <xf numFmtId="0" fontId="0" fillId="0" borderId="0" xfId="0" applyBorder="1"/>
    <xf numFmtId="9" fontId="0" fillId="0" borderId="0" xfId="3" applyFont="1" applyBorder="1"/>
    <xf numFmtId="9" fontId="3" fillId="0" borderId="0" xfId="3" applyFont="1" applyBorder="1"/>
    <xf numFmtId="166" fontId="31" fillId="0" borderId="2" xfId="1" applyNumberFormat="1" applyFont="1" applyFill="1" applyBorder="1" applyAlignment="1"/>
    <xf numFmtId="166" fontId="3" fillId="0" borderId="11" xfId="1" applyNumberFormat="1" applyFont="1" applyFill="1" applyBorder="1"/>
    <xf numFmtId="0" fontId="0" fillId="9" borderId="6" xfId="0" applyFill="1" applyBorder="1"/>
    <xf numFmtId="166" fontId="28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36" fillId="0" borderId="0" xfId="0" applyFont="1"/>
    <xf numFmtId="10" fontId="10" fillId="2" borderId="2" xfId="3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9" fontId="10" fillId="0" borderId="0" xfId="3" applyFont="1"/>
    <xf numFmtId="167" fontId="27" fillId="0" borderId="0" xfId="2" applyNumberFormat="1" applyFont="1" applyBorder="1" applyAlignment="1">
      <alignment horizontal="right"/>
    </xf>
    <xf numFmtId="167" fontId="28" fillId="4" borderId="2" xfId="2" applyNumberFormat="1" applyFont="1" applyFill="1" applyBorder="1" applyAlignment="1">
      <alignment horizontal="right"/>
    </xf>
    <xf numFmtId="167" fontId="27" fillId="0" borderId="0" xfId="2" applyNumberFormat="1" applyFont="1" applyBorder="1" applyAlignment="1">
      <alignment horizontal="center"/>
    </xf>
    <xf numFmtId="167" fontId="0" fillId="0" borderId="0" xfId="3" applyNumberFormat="1" applyFont="1"/>
    <xf numFmtId="0" fontId="34" fillId="0" borderId="0" xfId="0" applyFont="1" applyAlignment="1">
      <alignment horizontal="left" indent="1"/>
    </xf>
    <xf numFmtId="0" fontId="34" fillId="8" borderId="2" xfId="0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9" fontId="34" fillId="0" borderId="0" xfId="3" applyFont="1"/>
    <xf numFmtId="0" fontId="34" fillId="0" borderId="0" xfId="0" applyFont="1"/>
    <xf numFmtId="43" fontId="34" fillId="0" borderId="2" xfId="1" applyFont="1" applyFill="1" applyBorder="1" applyAlignment="1">
      <alignment horizontal="right"/>
    </xf>
    <xf numFmtId="10" fontId="24" fillId="0" borderId="0" xfId="3" applyNumberFormat="1" applyFont="1" applyBorder="1" applyAlignment="1">
      <alignment horizontal="right"/>
    </xf>
    <xf numFmtId="0" fontId="24" fillId="0" borderId="0" xfId="0" applyFont="1"/>
    <xf numFmtId="43" fontId="34" fillId="0" borderId="0" xfId="1" applyFont="1"/>
    <xf numFmtId="43" fontId="34" fillId="0" borderId="0" xfId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9" fontId="34" fillId="0" borderId="0" xfId="3" applyFont="1" applyBorder="1" applyAlignment="1">
      <alignment horizontal="right"/>
    </xf>
    <xf numFmtId="167" fontId="22" fillId="11" borderId="4" xfId="2" applyNumberFormat="1" applyFont="1" applyFill="1" applyBorder="1"/>
    <xf numFmtId="9" fontId="22" fillId="12" borderId="0" xfId="3" applyFont="1" applyFill="1" applyBorder="1"/>
    <xf numFmtId="43" fontId="34" fillId="13" borderId="2" xfId="1" applyFont="1" applyFill="1" applyBorder="1" applyAlignment="1">
      <alignment horizontal="right"/>
    </xf>
    <xf numFmtId="166" fontId="34" fillId="13" borderId="2" xfId="1" applyNumberFormat="1" applyFont="1" applyFill="1" applyBorder="1" applyAlignment="1">
      <alignment horizontal="right"/>
    </xf>
    <xf numFmtId="10" fontId="13" fillId="2" borderId="2" xfId="3" applyNumberFormat="1" applyFont="1" applyFill="1" applyBorder="1" applyProtection="1">
      <protection locked="0"/>
    </xf>
    <xf numFmtId="10" fontId="35" fillId="2" borderId="2" xfId="3" applyNumberFormat="1" applyFont="1" applyFill="1" applyBorder="1" applyProtection="1">
      <protection locked="0"/>
    </xf>
    <xf numFmtId="166" fontId="35" fillId="2" borderId="2" xfId="1" applyNumberFormat="1" applyFont="1" applyFill="1" applyBorder="1" applyProtection="1">
      <protection locked="0"/>
    </xf>
    <xf numFmtId="1" fontId="34" fillId="8" borderId="2" xfId="0" applyNumberFormat="1" applyFont="1" applyFill="1" applyBorder="1" applyAlignment="1">
      <alignment horizontal="right"/>
    </xf>
    <xf numFmtId="169" fontId="34" fillId="8" borderId="2" xfId="0" applyNumberFormat="1" applyFont="1" applyFill="1" applyBorder="1" applyAlignment="1">
      <alignment horizontal="right"/>
    </xf>
    <xf numFmtId="2" fontId="34" fillId="8" borderId="2" xfId="0" applyNumberFormat="1" applyFont="1" applyFill="1" applyBorder="1" applyAlignment="1">
      <alignment horizontal="right"/>
    </xf>
    <xf numFmtId="169" fontId="34" fillId="0" borderId="0" xfId="0" applyNumberFormat="1" applyFont="1" applyBorder="1" applyAlignment="1">
      <alignment horizontal="right"/>
    </xf>
    <xf numFmtId="1" fontId="34" fillId="0" borderId="0" xfId="0" applyNumberFormat="1" applyFont="1" applyBorder="1" applyAlignment="1">
      <alignment horizontal="right"/>
    </xf>
    <xf numFmtId="10" fontId="24" fillId="8" borderId="2" xfId="3" applyNumberFormat="1" applyFont="1" applyFill="1" applyBorder="1" applyAlignment="1">
      <alignment horizontal="right"/>
    </xf>
    <xf numFmtId="164" fontId="34" fillId="0" borderId="0" xfId="3" applyNumberFormat="1" applyFont="1" applyBorder="1" applyAlignment="1">
      <alignment horizontal="right"/>
    </xf>
    <xf numFmtId="10" fontId="34" fillId="0" borderId="0" xfId="3" applyNumberFormat="1" applyFont="1" applyBorder="1" applyAlignment="1">
      <alignment horizontal="right"/>
    </xf>
    <xf numFmtId="0" fontId="24" fillId="13" borderId="2" xfId="0" applyFont="1" applyFill="1" applyBorder="1" applyAlignment="1">
      <alignment horizontal="center"/>
    </xf>
    <xf numFmtId="44" fontId="0" fillId="0" borderId="0" xfId="2" applyFont="1" applyBorder="1"/>
    <xf numFmtId="44" fontId="34" fillId="0" borderId="0" xfId="2" applyFont="1" applyBorder="1" applyAlignment="1">
      <alignment horizontal="right"/>
    </xf>
    <xf numFmtId="0" fontId="1" fillId="0" borderId="0" xfId="4"/>
    <xf numFmtId="0" fontId="1" fillId="0" borderId="2" xfId="4" applyFont="1" applyBorder="1"/>
    <xf numFmtId="0" fontId="40" fillId="0" borderId="12" xfId="4" applyFont="1" applyFill="1" applyBorder="1"/>
    <xf numFmtId="167" fontId="0" fillId="0" borderId="2" xfId="5" applyNumberFormat="1" applyFont="1" applyBorder="1"/>
    <xf numFmtId="44" fontId="0" fillId="0" borderId="0" xfId="5" applyFont="1" applyBorder="1"/>
    <xf numFmtId="10" fontId="0" fillId="0" borderId="0" xfId="6" applyNumberFormat="1" applyFont="1"/>
    <xf numFmtId="167" fontId="41" fillId="0" borderId="2" xfId="5" applyNumberFormat="1" applyFont="1" applyBorder="1" applyAlignment="1">
      <alignment vertical="center" wrapText="1"/>
    </xf>
    <xf numFmtId="167" fontId="1" fillId="0" borderId="0" xfId="4" applyNumberFormat="1"/>
    <xf numFmtId="44" fontId="40" fillId="0" borderId="0" xfId="5" applyFont="1" applyFill="1" applyBorder="1"/>
    <xf numFmtId="0" fontId="1" fillId="0" borderId="0" xfId="4" applyFont="1" applyBorder="1"/>
    <xf numFmtId="43" fontId="34" fillId="0" borderId="6" xfId="1" applyNumberFormat="1" applyFont="1" applyBorder="1" applyAlignment="1">
      <alignment horizontal="right"/>
    </xf>
    <xf numFmtId="43" fontId="1" fillId="0" borderId="2" xfId="1" applyFont="1" applyBorder="1"/>
    <xf numFmtId="43" fontId="41" fillId="0" borderId="2" xfId="1" applyFont="1" applyBorder="1" applyAlignment="1">
      <alignment vertical="center" wrapText="1"/>
    </xf>
    <xf numFmtId="43" fontId="1" fillId="0" borderId="0" xfId="1" applyFont="1"/>
    <xf numFmtId="9" fontId="44" fillId="0" borderId="0" xfId="3" quotePrefix="1" applyFont="1"/>
    <xf numFmtId="2" fontId="34" fillId="0" borderId="6" xfId="0" applyNumberFormat="1" applyFont="1" applyBorder="1" applyAlignment="1">
      <alignment horizontal="right"/>
    </xf>
    <xf numFmtId="169" fontId="34" fillId="3" borderId="0" xfId="0" applyNumberFormat="1" applyFont="1" applyFill="1"/>
    <xf numFmtId="170" fontId="34" fillId="13" borderId="2" xfId="1" applyNumberFormat="1" applyFont="1" applyFill="1" applyBorder="1" applyAlignment="1">
      <alignment horizontal="right"/>
    </xf>
    <xf numFmtId="10" fontId="24" fillId="13" borderId="2" xfId="0" applyNumberFormat="1" applyFont="1" applyFill="1" applyBorder="1" applyAlignment="1">
      <alignment horizontal="center"/>
    </xf>
    <xf numFmtId="0" fontId="42" fillId="4" borderId="0" xfId="0" applyFont="1" applyFill="1" applyBorder="1" applyAlignment="1">
      <alignment horizontal="right"/>
    </xf>
    <xf numFmtId="164" fontId="45" fillId="4" borderId="0" xfId="0" applyNumberFormat="1" applyFont="1" applyFill="1" applyBorder="1" applyAlignment="1">
      <alignment horizontal="right"/>
    </xf>
    <xf numFmtId="10" fontId="45" fillId="4" borderId="0" xfId="0" applyNumberFormat="1" applyFont="1" applyFill="1" applyBorder="1" applyAlignment="1">
      <alignment horizontal="right"/>
    </xf>
    <xf numFmtId="2" fontId="15" fillId="0" borderId="0" xfId="3" applyNumberFormat="1" applyFont="1" applyAlignment="1">
      <alignment horizontal="center"/>
    </xf>
    <xf numFmtId="2" fontId="34" fillId="0" borderId="0" xfId="0" applyNumberFormat="1" applyFont="1"/>
    <xf numFmtId="44" fontId="46" fillId="0" borderId="0" xfId="2" applyFont="1"/>
    <xf numFmtId="44" fontId="15" fillId="0" borderId="0" xfId="2" applyFont="1"/>
    <xf numFmtId="0" fontId="47" fillId="0" borderId="0" xfId="0" applyFont="1" applyAlignment="1">
      <alignment horizontal="left"/>
    </xf>
    <xf numFmtId="9" fontId="47" fillId="0" borderId="0" xfId="3" applyFont="1" applyAlignment="1">
      <alignment horizontal="center"/>
    </xf>
    <xf numFmtId="0" fontId="2" fillId="0" borderId="0" xfId="0" applyFont="1"/>
    <xf numFmtId="10" fontId="34" fillId="0" borderId="2" xfId="3" applyNumberFormat="1" applyFont="1" applyFill="1" applyBorder="1" applyAlignment="1" applyProtection="1">
      <alignment horizontal="center"/>
      <protection locked="0"/>
    </xf>
    <xf numFmtId="167" fontId="28" fillId="0" borderId="2" xfId="2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168" fontId="0" fillId="0" borderId="0" xfId="0" applyNumberFormat="1" applyFill="1"/>
    <xf numFmtId="44" fontId="1" fillId="0" borderId="2" xfId="2" applyFont="1" applyBorder="1"/>
    <xf numFmtId="44" fontId="1" fillId="0" borderId="12" xfId="2" applyFont="1" applyFill="1" applyBorder="1"/>
    <xf numFmtId="10" fontId="1" fillId="0" borderId="6" xfId="4" applyNumberFormat="1" applyBorder="1"/>
    <xf numFmtId="43" fontId="1" fillId="0" borderId="0" xfId="4" applyNumberFormat="1"/>
    <xf numFmtId="2" fontId="34" fillId="8" borderId="2" xfId="1" applyNumberFormat="1" applyFont="1" applyFill="1" applyBorder="1" applyAlignment="1">
      <alignment horizontal="right"/>
    </xf>
    <xf numFmtId="0" fontId="0" fillId="13" borderId="2" xfId="0" applyFill="1" applyBorder="1" applyAlignment="1">
      <alignment horizontal="right"/>
    </xf>
    <xf numFmtId="43" fontId="0" fillId="13" borderId="2" xfId="0" applyNumberFormat="1" applyFill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40" fillId="0" borderId="0" xfId="4" applyFont="1"/>
    <xf numFmtId="17" fontId="40" fillId="0" borderId="0" xfId="4" applyNumberFormat="1" applyFont="1"/>
    <xf numFmtId="43" fontId="34" fillId="13" borderId="2" xfId="1" applyNumberFormat="1" applyFont="1" applyFill="1" applyBorder="1" applyAlignment="1">
      <alignment horizontal="right"/>
    </xf>
    <xf numFmtId="44" fontId="1" fillId="0" borderId="2" xfId="2" applyFont="1" applyFill="1" applyBorder="1"/>
    <xf numFmtId="0" fontId="1" fillId="0" borderId="2" xfId="4" applyFont="1" applyFill="1" applyBorder="1"/>
    <xf numFmtId="44" fontId="0" fillId="0" borderId="0" xfId="5" applyFont="1" applyFill="1" applyBorder="1"/>
    <xf numFmtId="2" fontId="34" fillId="0" borderId="0" xfId="0" applyNumberFormat="1" applyFont="1" applyBorder="1" applyAlignment="1">
      <alignment horizontal="right"/>
    </xf>
    <xf numFmtId="10" fontId="27" fillId="13" borderId="2" xfId="0" applyNumberFormat="1" applyFont="1" applyFill="1" applyBorder="1" applyAlignment="1">
      <alignment horizontal="center"/>
    </xf>
    <xf numFmtId="10" fontId="27" fillId="13" borderId="2" xfId="3" applyNumberFormat="1" applyFont="1" applyFill="1" applyBorder="1" applyAlignment="1">
      <alignment horizontal="center"/>
    </xf>
    <xf numFmtId="10" fontId="23" fillId="13" borderId="2" xfId="0" applyNumberFormat="1" applyFont="1" applyFill="1" applyBorder="1" applyAlignment="1">
      <alignment horizontal="center"/>
    </xf>
    <xf numFmtId="0" fontId="34" fillId="14" borderId="13" xfId="0" applyFont="1" applyFill="1" applyBorder="1" applyAlignment="1">
      <alignment vertical="top" wrapText="1"/>
    </xf>
    <xf numFmtId="0" fontId="50" fillId="14" borderId="13" xfId="0" applyFont="1" applyFill="1" applyBorder="1" applyAlignment="1">
      <alignment horizontal="center" vertical="center" wrapText="1" readingOrder="1"/>
    </xf>
    <xf numFmtId="0" fontId="50" fillId="15" borderId="13" xfId="0" applyFont="1" applyFill="1" applyBorder="1" applyAlignment="1">
      <alignment horizontal="left" vertical="center" wrapText="1" readingOrder="1"/>
    </xf>
    <xf numFmtId="0" fontId="50" fillId="14" borderId="13" xfId="0" applyFont="1" applyFill="1" applyBorder="1" applyAlignment="1">
      <alignment horizontal="left" vertical="center" wrapText="1" readingOrder="1"/>
    </xf>
    <xf numFmtId="0" fontId="51" fillId="15" borderId="14" xfId="0" applyFont="1" applyFill="1" applyBorder="1" applyAlignment="1">
      <alignment horizontal="left" vertical="center" wrapText="1" indent="1" readingOrder="1"/>
    </xf>
    <xf numFmtId="0" fontId="51" fillId="15" borderId="15" xfId="0" applyFont="1" applyFill="1" applyBorder="1" applyAlignment="1">
      <alignment horizontal="left" vertical="center" wrapText="1" indent="1" readingOrder="1"/>
    </xf>
    <xf numFmtId="0" fontId="50" fillId="14" borderId="14" xfId="0" applyFont="1" applyFill="1" applyBorder="1" applyAlignment="1">
      <alignment horizontal="left" vertical="center" wrapText="1" readingOrder="1"/>
    </xf>
    <xf numFmtId="0" fontId="50" fillId="14" borderId="15" xfId="0" applyFont="1" applyFill="1" applyBorder="1" applyAlignment="1">
      <alignment horizontal="left" vertical="center" wrapText="1" readingOrder="1"/>
    </xf>
    <xf numFmtId="43" fontId="51" fillId="14" borderId="15" xfId="1" applyFont="1" applyFill="1" applyBorder="1" applyAlignment="1">
      <alignment horizontal="right" vertical="center" wrapText="1" readingOrder="1"/>
    </xf>
    <xf numFmtId="44" fontId="51" fillId="14" borderId="15" xfId="2" applyFont="1" applyFill="1" applyBorder="1" applyAlignment="1">
      <alignment horizontal="right" vertical="center" wrapText="1" readingOrder="1"/>
    </xf>
    <xf numFmtId="9" fontId="50" fillId="14" borderId="15" xfId="3" applyFont="1" applyFill="1" applyBorder="1" applyAlignment="1">
      <alignment horizontal="right" vertical="center" wrapText="1" readingOrder="1"/>
    </xf>
    <xf numFmtId="44" fontId="52" fillId="14" borderId="13" xfId="2" applyFont="1" applyFill="1" applyBorder="1" applyAlignment="1">
      <alignment horizontal="right" vertical="center" wrapText="1" readingOrder="1"/>
    </xf>
    <xf numFmtId="44" fontId="52" fillId="15" borderId="13" xfId="2" applyFont="1" applyFill="1" applyBorder="1" applyAlignment="1">
      <alignment horizontal="right" vertical="center" wrapText="1" readingOrder="1"/>
    </xf>
    <xf numFmtId="44" fontId="52" fillId="14" borderId="13" xfId="2" applyFont="1" applyFill="1" applyBorder="1" applyAlignment="1">
      <alignment vertical="top" wrapText="1"/>
    </xf>
    <xf numFmtId="44" fontId="52" fillId="15" borderId="13" xfId="2" applyFont="1" applyFill="1" applyBorder="1" applyAlignment="1">
      <alignment horizontal="left" vertical="center" wrapText="1" readingOrder="1"/>
    </xf>
    <xf numFmtId="43" fontId="34" fillId="15" borderId="13" xfId="1" applyFont="1" applyFill="1" applyBorder="1" applyAlignment="1">
      <alignment vertical="top" wrapText="1"/>
    </xf>
    <xf numFmtId="43" fontId="34" fillId="0" borderId="13" xfId="1" applyFont="1" applyBorder="1" applyAlignment="1">
      <alignment vertical="top" wrapText="1"/>
    </xf>
    <xf numFmtId="44" fontId="52" fillId="16" borderId="13" xfId="2" applyFont="1" applyFill="1" applyBorder="1" applyAlignment="1">
      <alignment vertical="top" wrapText="1"/>
    </xf>
    <xf numFmtId="44" fontId="52" fillId="15" borderId="13" xfId="2" applyNumberFormat="1" applyFont="1" applyFill="1" applyBorder="1" applyAlignment="1">
      <alignment horizontal="center" vertical="center" wrapText="1" readingOrder="1"/>
    </xf>
    <xf numFmtId="9" fontId="27" fillId="13" borderId="2" xfId="3" applyFont="1" applyFill="1" applyBorder="1" applyAlignment="1">
      <alignment horizontal="center"/>
    </xf>
    <xf numFmtId="0" fontId="34" fillId="0" borderId="0" xfId="0" quotePrefix="1" applyFont="1"/>
    <xf numFmtId="44" fontId="34" fillId="0" borderId="2" xfId="2" applyFont="1" applyBorder="1"/>
    <xf numFmtId="43" fontId="34" fillId="0" borderId="0" xfId="0" applyNumberFormat="1" applyFont="1"/>
    <xf numFmtId="44" fontId="34" fillId="0" borderId="0" xfId="0" applyNumberFormat="1" applyFont="1"/>
    <xf numFmtId="0" fontId="34" fillId="0" borderId="0" xfId="0" applyFont="1" applyAlignment="1">
      <alignment horizontal="center"/>
    </xf>
    <xf numFmtId="0" fontId="45" fillId="0" borderId="0" xfId="0" applyFont="1"/>
    <xf numFmtId="167" fontId="27" fillId="18" borderId="0" xfId="2" applyNumberFormat="1" applyFont="1" applyFill="1" applyBorder="1" applyAlignment="1">
      <alignment horizontal="center"/>
    </xf>
    <xf numFmtId="2" fontId="34" fillId="18" borderId="0" xfId="0" applyNumberFormat="1" applyFont="1" applyFill="1"/>
    <xf numFmtId="166" fontId="54" fillId="0" borderId="11" xfId="1" applyNumberFormat="1" applyFont="1" applyFill="1" applyBorder="1"/>
    <xf numFmtId="10" fontId="53" fillId="19" borderId="2" xfId="3" applyNumberFormat="1" applyFont="1" applyFill="1" applyBorder="1" applyProtection="1">
      <protection locked="0"/>
    </xf>
    <xf numFmtId="171" fontId="0" fillId="0" borderId="0" xfId="0" applyNumberFormat="1"/>
    <xf numFmtId="44" fontId="0" fillId="0" borderId="0" xfId="0" applyNumberFormat="1"/>
    <xf numFmtId="172" fontId="34" fillId="0" borderId="0" xfId="3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0" fillId="13" borderId="2" xfId="0" applyNumberFormat="1" applyFill="1" applyBorder="1" applyAlignment="1">
      <alignment horizontal="right"/>
    </xf>
    <xf numFmtId="9" fontId="34" fillId="0" borderId="0" xfId="3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33" fillId="6" borderId="7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3" fontId="50" fillId="14" borderId="14" xfId="1" applyFont="1" applyFill="1" applyBorder="1" applyAlignment="1">
      <alignment horizontal="right" vertical="center" wrapText="1" readingOrder="1"/>
    </xf>
    <xf numFmtId="43" fontId="50" fillId="14" borderId="15" xfId="1" applyFont="1" applyFill="1" applyBorder="1" applyAlignment="1">
      <alignment horizontal="right" vertical="center" wrapText="1" readingOrder="1"/>
    </xf>
    <xf numFmtId="0" fontId="50" fillId="14" borderId="14" xfId="0" applyFont="1" applyFill="1" applyBorder="1" applyAlignment="1">
      <alignment horizontal="center" vertical="center" wrapText="1" readingOrder="1"/>
    </xf>
    <xf numFmtId="0" fontId="50" fillId="14" borderId="15" xfId="0" applyFont="1" applyFill="1" applyBorder="1" applyAlignment="1">
      <alignment horizontal="center" vertical="center" wrapText="1" readingOrder="1"/>
    </xf>
    <xf numFmtId="44" fontId="52" fillId="17" borderId="14" xfId="2" applyFont="1" applyFill="1" applyBorder="1" applyAlignment="1">
      <alignment horizontal="right" vertical="top" wrapText="1"/>
    </xf>
    <xf numFmtId="44" fontId="52" fillId="17" borderId="15" xfId="2" applyFont="1" applyFill="1" applyBorder="1" applyAlignment="1">
      <alignment horizontal="right" vertical="top" wrapText="1"/>
    </xf>
    <xf numFmtId="44" fontId="52" fillId="17" borderId="14" xfId="2" applyFont="1" applyFill="1" applyBorder="1" applyAlignment="1">
      <alignment vertical="top" wrapText="1"/>
    </xf>
    <xf numFmtId="44" fontId="52" fillId="17" borderId="15" xfId="2" applyFont="1" applyFill="1" applyBorder="1" applyAlignment="1">
      <alignment vertical="top" wrapText="1"/>
    </xf>
    <xf numFmtId="44" fontId="52" fillId="15" borderId="14" xfId="2" applyFont="1" applyFill="1" applyBorder="1" applyAlignment="1">
      <alignment vertical="top" wrapText="1"/>
    </xf>
    <xf numFmtId="44" fontId="52" fillId="15" borderId="15" xfId="2" applyFont="1" applyFill="1" applyBorder="1" applyAlignment="1">
      <alignment vertical="top" wrapText="1"/>
    </xf>
    <xf numFmtId="44" fontId="34" fillId="14" borderId="14" xfId="2" applyFont="1" applyFill="1" applyBorder="1" applyAlignment="1">
      <alignment vertical="top" wrapText="1"/>
    </xf>
    <xf numFmtId="44" fontId="34" fillId="14" borderId="15" xfId="2" applyFont="1" applyFill="1" applyBorder="1" applyAlignment="1">
      <alignment vertical="top" wrapText="1"/>
    </xf>
  </cellXfs>
  <cellStyles count="7">
    <cellStyle name="Comma" xfId="1" builtinId="3"/>
    <cellStyle name="Currency" xfId="2" builtinId="4"/>
    <cellStyle name="Currency 2" xfId="5" xr:uid="{00000000-0005-0000-0000-000002000000}"/>
    <cellStyle name="Normal" xfId="0" builtinId="0"/>
    <cellStyle name="Normal 2" xfId="4" xr:uid="{00000000-0005-0000-0000-000004000000}"/>
    <cellStyle name="Percent" xfId="3" builtinId="5"/>
    <cellStyle name="Percent 2" xfId="6" xr:uid="{00000000-0005-0000-0000-000006000000}"/>
  </cellStyles>
  <dxfs count="7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eni Whitehouse" id="{E997BFB0-3D19-4D48-976E-0AD0B288D1E9}" userId="S::geni@bdcocpa.com::1008a509-385d-45ee-aea1-fa49d02a75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5" dT="2020-02-27T01:21:30.85" personId="{E997BFB0-3D19-4D48-976E-0AD0B288D1E9}" id="{5E67D2EE-F41A-4DB6-A14C-E0F29BDF1A24}">
    <text>Value calculated based oncell D9 or D10 goal seek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58"/>
  <sheetViews>
    <sheetView tabSelected="1" topLeftCell="A2" zoomScale="110" zoomScaleNormal="110" workbookViewId="0">
      <pane ySplit="6360" topLeftCell="A32"/>
      <selection activeCell="D10" sqref="D10"/>
      <selection pane="bottomLeft" activeCell="D34" sqref="D34"/>
    </sheetView>
  </sheetViews>
  <sheetFormatPr defaultRowHeight="12.75" outlineLevelRow="1" x14ac:dyDescent="0.2"/>
  <cols>
    <col min="1" max="1" width="3.28515625" style="9" customWidth="1"/>
    <col min="2" max="2" width="50.42578125" customWidth="1"/>
    <col min="3" max="3" width="17" bestFit="1" customWidth="1"/>
    <col min="4" max="4" width="20.140625" style="2" customWidth="1"/>
    <col min="5" max="5" width="17.28515625" style="9" bestFit="1" customWidth="1"/>
    <col min="6" max="6" width="12.5703125" style="35" bestFit="1" customWidth="1"/>
    <col min="7" max="7" width="11.5703125" bestFit="1" customWidth="1"/>
    <col min="8" max="8" width="18" bestFit="1" customWidth="1"/>
    <col min="9" max="9" width="15.7109375" customWidth="1"/>
    <col min="10" max="10" width="14.42578125" bestFit="1" customWidth="1"/>
    <col min="12" max="12" width="16" bestFit="1" customWidth="1"/>
    <col min="13" max="13" width="14.28515625" bestFit="1" customWidth="1"/>
  </cols>
  <sheetData>
    <row r="1" spans="1:12" ht="6" customHeight="1" x14ac:dyDescent="0.2"/>
    <row r="2" spans="1:12" s="8" customFormat="1" ht="26.25" x14ac:dyDescent="0.4">
      <c r="A2" s="285" t="s">
        <v>146</v>
      </c>
      <c r="B2" s="285"/>
      <c r="C2" s="285"/>
      <c r="D2" s="285"/>
      <c r="E2" s="285"/>
      <c r="F2" s="37"/>
      <c r="H2"/>
      <c r="I2" s="1" t="s">
        <v>80</v>
      </c>
      <c r="J2" s="1" t="s">
        <v>81</v>
      </c>
    </row>
    <row r="3" spans="1:12" ht="15.75" x14ac:dyDescent="0.25">
      <c r="A3" s="170" t="s">
        <v>26</v>
      </c>
      <c r="C3" s="3"/>
      <c r="E3" s="1"/>
      <c r="H3" s="8" t="s">
        <v>78</v>
      </c>
      <c r="I3" s="282">
        <f>20*260</f>
        <v>5200</v>
      </c>
      <c r="J3" s="283">
        <f>+I3/12</f>
        <v>433.33333333333331</v>
      </c>
      <c r="K3">
        <f>+J3/20</f>
        <v>21.666666666666664</v>
      </c>
      <c r="L3" s="223"/>
    </row>
    <row r="4" spans="1:12" ht="15" x14ac:dyDescent="0.2">
      <c r="C4" s="7"/>
      <c r="D4" s="224" t="s">
        <v>0</v>
      </c>
      <c r="E4" s="7"/>
      <c r="H4" t="s">
        <v>79</v>
      </c>
      <c r="I4" s="237">
        <v>2400</v>
      </c>
      <c r="J4" s="235">
        <f>+I4/12</f>
        <v>200</v>
      </c>
      <c r="K4">
        <f>+J4/20</f>
        <v>10</v>
      </c>
    </row>
    <row r="5" spans="1:12" ht="20.25" x14ac:dyDescent="0.3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/>
      <c r="J5" s="236">
        <v>1000</v>
      </c>
      <c r="K5" s="154">
        <f>+J5/J4</f>
        <v>5</v>
      </c>
      <c r="L5" s="223" t="s">
        <v>99</v>
      </c>
    </row>
    <row r="6" spans="1:12" s="167" customFormat="1" ht="15" x14ac:dyDescent="0.2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12" s="167" customFormat="1" ht="15" x14ac:dyDescent="0.2">
      <c r="A7" s="163" t="s">
        <v>77</v>
      </c>
      <c r="B7" s="163"/>
      <c r="C7" s="184">
        <v>22</v>
      </c>
      <c r="D7" s="180"/>
      <c r="E7" s="188">
        <f t="shared" ref="E7:E8" si="0">+C7+D7</f>
        <v>22</v>
      </c>
      <c r="F7" s="209"/>
    </row>
    <row r="8" spans="1:12" s="167" customFormat="1" ht="15" x14ac:dyDescent="0.2">
      <c r="A8" s="163" t="s">
        <v>30</v>
      </c>
      <c r="B8" s="163"/>
      <c r="C8" s="186">
        <v>10</v>
      </c>
      <c r="D8" s="241"/>
      <c r="E8" s="245">
        <f t="shared" si="0"/>
        <v>10</v>
      </c>
      <c r="F8" s="209"/>
    </row>
    <row r="9" spans="1:12" s="167" customFormat="1" ht="15.75" x14ac:dyDescent="0.25">
      <c r="A9" s="163" t="s">
        <v>32</v>
      </c>
      <c r="B9" s="163"/>
      <c r="C9" s="189">
        <f>+C8/C7</f>
        <v>0.45454545454545453</v>
      </c>
      <c r="D9" s="168"/>
      <c r="E9" s="169">
        <f>+E8/E7</f>
        <v>0.45454545454545453</v>
      </c>
      <c r="F9" s="166"/>
      <c r="H9" s="170" t="s">
        <v>46</v>
      </c>
      <c r="I9" s="170" t="s">
        <v>47</v>
      </c>
      <c r="J9" s="170" t="s">
        <v>48</v>
      </c>
    </row>
    <row r="10" spans="1:12" s="167" customFormat="1" ht="15" x14ac:dyDescent="0.2">
      <c r="A10" s="163" t="s">
        <v>35</v>
      </c>
      <c r="B10" s="163"/>
      <c r="C10" s="185">
        <v>0.38461666666666666</v>
      </c>
      <c r="D10" s="212">
        <f>+J10</f>
        <v>3.2050299999999997E-2</v>
      </c>
      <c r="E10" s="187">
        <f>+C10+D10</f>
        <v>0.41666696666666664</v>
      </c>
      <c r="F10" s="166"/>
      <c r="G10" s="171"/>
      <c r="H10" s="276">
        <v>5</v>
      </c>
      <c r="I10" s="211">
        <f>ROUND(+H10/12,6)</f>
        <v>0.41666700000000001</v>
      </c>
      <c r="J10" s="211">
        <f>ROUND(+I10-C10,7)</f>
        <v>3.2050299999999997E-2</v>
      </c>
    </row>
    <row r="11" spans="1:12" s="167" customFormat="1" ht="24" customHeight="1" thickBot="1" x14ac:dyDescent="0.25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1083.33</v>
      </c>
      <c r="F11" s="166"/>
      <c r="H11" s="218">
        <v>4.6154000000000002</v>
      </c>
      <c r="I11" s="167" t="s">
        <v>1</v>
      </c>
    </row>
    <row r="12" spans="1:12" s="167" customFormat="1" ht="3" customHeight="1" thickTop="1" x14ac:dyDescent="0.25">
      <c r="A12" s="170"/>
      <c r="C12" s="173"/>
      <c r="D12" s="174"/>
      <c r="E12" s="173"/>
      <c r="F12" s="166"/>
    </row>
    <row r="13" spans="1:12" s="167" customFormat="1" ht="18" x14ac:dyDescent="0.25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2" s="167" customFormat="1" ht="15.75" x14ac:dyDescent="0.2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</row>
    <row r="15" spans="1:12" s="167" customFormat="1" ht="15.75" x14ac:dyDescent="0.25">
      <c r="A15" s="170"/>
      <c r="B15" s="167" t="s">
        <v>117</v>
      </c>
      <c r="C15" s="281">
        <v>0.41</v>
      </c>
      <c r="D15" s="246"/>
      <c r="E15" s="281">
        <f>+D15+C15</f>
        <v>0.41</v>
      </c>
      <c r="F15" s="217">
        <f t="shared" ref="F15:F19" si="1">+D15*$C$11</f>
        <v>0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2" s="167" customFormat="1" ht="15.75" x14ac:dyDescent="0.25">
      <c r="A16" s="170"/>
      <c r="B16" s="167" t="s">
        <v>118</v>
      </c>
      <c r="C16" s="281">
        <v>0.49</v>
      </c>
      <c r="D16" s="247"/>
      <c r="E16" s="281">
        <f>+D16+C16</f>
        <v>0.49</v>
      </c>
      <c r="F16" s="217">
        <f t="shared" si="1"/>
        <v>0</v>
      </c>
      <c r="G16" s="193">
        <v>720</v>
      </c>
      <c r="H16" s="192"/>
      <c r="I16" s="194">
        <f>+H16+G16</f>
        <v>720</v>
      </c>
      <c r="J16" s="220">
        <f t="shared" ref="J16:J30" si="2">+I16/12</f>
        <v>60</v>
      </c>
    </row>
    <row r="17" spans="1:10" s="167" customFormat="1" ht="15.75" x14ac:dyDescent="0.25">
      <c r="A17" s="170"/>
      <c r="B17" s="167" t="s">
        <v>143</v>
      </c>
      <c r="C17" s="281">
        <v>0.1</v>
      </c>
      <c r="D17" s="268"/>
      <c r="E17" s="281">
        <f t="shared" ref="E17:E30" si="3">+D17+C17</f>
        <v>0.1</v>
      </c>
      <c r="F17" s="217">
        <f t="shared" si="1"/>
        <v>0</v>
      </c>
      <c r="G17" s="193">
        <f>45*12</f>
        <v>540</v>
      </c>
      <c r="H17" s="192"/>
      <c r="I17" s="194">
        <f t="shared" ref="I17:I30" si="4">+H17+G17</f>
        <v>540</v>
      </c>
      <c r="J17" s="220">
        <v>45</v>
      </c>
    </row>
    <row r="18" spans="1:10" s="167" customFormat="1" ht="15.75" hidden="1" outlineLevel="1" x14ac:dyDescent="0.25">
      <c r="A18" s="170"/>
      <c r="B18" s="167" t="s">
        <v>100</v>
      </c>
      <c r="C18" s="190"/>
      <c r="D18" s="248"/>
      <c r="E18" s="191">
        <f t="shared" si="3"/>
        <v>0</v>
      </c>
      <c r="F18" s="217">
        <f t="shared" si="1"/>
        <v>0</v>
      </c>
      <c r="G18" s="193">
        <v>0</v>
      </c>
      <c r="H18" s="192"/>
      <c r="I18" s="194">
        <f t="shared" si="4"/>
        <v>0</v>
      </c>
      <c r="J18" s="220">
        <f t="shared" si="2"/>
        <v>0</v>
      </c>
    </row>
    <row r="19" spans="1:10" s="167" customFormat="1" ht="15.75" hidden="1" outlineLevel="1" x14ac:dyDescent="0.25">
      <c r="A19" s="170"/>
      <c r="B19" s="167" t="s">
        <v>101</v>
      </c>
      <c r="C19" s="190"/>
      <c r="D19" s="248"/>
      <c r="E19" s="191">
        <f t="shared" si="3"/>
        <v>0</v>
      </c>
      <c r="F19" s="217">
        <f t="shared" si="1"/>
        <v>0</v>
      </c>
      <c r="G19" s="193">
        <v>0</v>
      </c>
      <c r="H19" s="192"/>
      <c r="I19" s="194">
        <f t="shared" si="4"/>
        <v>0</v>
      </c>
      <c r="J19" s="220">
        <f t="shared" si="2"/>
        <v>0</v>
      </c>
    </row>
    <row r="20" spans="1:10" s="167" customFormat="1" ht="15.75" hidden="1" outlineLevel="1" x14ac:dyDescent="0.25">
      <c r="A20" s="170"/>
      <c r="B20" s="167" t="s">
        <v>102</v>
      </c>
      <c r="C20" s="190"/>
      <c r="D20" s="248"/>
      <c r="E20" s="191">
        <f t="shared" si="3"/>
        <v>0</v>
      </c>
      <c r="F20" s="217">
        <f>+D20*$C$11</f>
        <v>0</v>
      </c>
      <c r="G20" s="193">
        <v>0</v>
      </c>
      <c r="H20" s="192"/>
      <c r="I20" s="194">
        <f t="shared" si="4"/>
        <v>0</v>
      </c>
      <c r="J20" s="220">
        <f t="shared" si="2"/>
        <v>0</v>
      </c>
    </row>
    <row r="21" spans="1:10" s="167" customFormat="1" ht="15.75" hidden="1" outlineLevel="1" x14ac:dyDescent="0.25">
      <c r="A21" s="170"/>
      <c r="B21" s="167" t="s">
        <v>103</v>
      </c>
      <c r="C21" s="190"/>
      <c r="D21" s="248"/>
      <c r="E21" s="191">
        <f t="shared" si="3"/>
        <v>0</v>
      </c>
      <c r="F21" s="217">
        <f t="shared" ref="F21:F30" si="5">+D21*$C$11</f>
        <v>0</v>
      </c>
      <c r="G21" s="193">
        <v>0</v>
      </c>
      <c r="H21" s="192"/>
      <c r="I21" s="194">
        <f t="shared" si="4"/>
        <v>0</v>
      </c>
      <c r="J21" s="220">
        <f t="shared" si="2"/>
        <v>0</v>
      </c>
    </row>
    <row r="22" spans="1:10" s="167" customFormat="1" ht="15.75" hidden="1" outlineLevel="1" x14ac:dyDescent="0.25">
      <c r="A22" s="170"/>
      <c r="B22" s="167" t="s">
        <v>104</v>
      </c>
      <c r="C22" s="190"/>
      <c r="D22" s="248"/>
      <c r="E22" s="191">
        <f t="shared" si="3"/>
        <v>0</v>
      </c>
      <c r="F22" s="217">
        <f t="shared" si="5"/>
        <v>0</v>
      </c>
      <c r="G22" s="193">
        <v>0</v>
      </c>
      <c r="H22" s="192"/>
      <c r="I22" s="194">
        <f t="shared" si="4"/>
        <v>0</v>
      </c>
      <c r="J22" s="220">
        <f t="shared" si="2"/>
        <v>0</v>
      </c>
    </row>
    <row r="23" spans="1:10" s="167" customFormat="1" ht="15.75" hidden="1" outlineLevel="1" x14ac:dyDescent="0.25">
      <c r="A23" s="170"/>
      <c r="B23" s="167" t="s">
        <v>105</v>
      </c>
      <c r="C23" s="190"/>
      <c r="D23" s="213"/>
      <c r="E23" s="191">
        <f t="shared" si="3"/>
        <v>0</v>
      </c>
      <c r="F23" s="217">
        <f t="shared" si="5"/>
        <v>0</v>
      </c>
      <c r="G23" s="193">
        <v>0</v>
      </c>
      <c r="H23" s="192"/>
      <c r="I23" s="194">
        <f t="shared" si="4"/>
        <v>0</v>
      </c>
      <c r="J23" s="220">
        <f t="shared" si="2"/>
        <v>0</v>
      </c>
    </row>
    <row r="24" spans="1:10" s="167" customFormat="1" ht="15.75" hidden="1" outlineLevel="1" x14ac:dyDescent="0.25">
      <c r="A24" s="170"/>
      <c r="B24" s="167" t="s">
        <v>106</v>
      </c>
      <c r="C24" s="190"/>
      <c r="D24" s="213"/>
      <c r="E24" s="191">
        <f t="shared" si="3"/>
        <v>0</v>
      </c>
      <c r="F24" s="217">
        <f t="shared" si="5"/>
        <v>0</v>
      </c>
      <c r="G24" s="193">
        <v>0</v>
      </c>
      <c r="H24" s="192"/>
      <c r="I24" s="194">
        <f t="shared" si="4"/>
        <v>0</v>
      </c>
      <c r="J24" s="220">
        <f t="shared" si="2"/>
        <v>0</v>
      </c>
    </row>
    <row r="25" spans="1:10" s="167" customFormat="1" ht="15.75" hidden="1" outlineLevel="1" x14ac:dyDescent="0.25">
      <c r="A25" s="170"/>
      <c r="B25" s="167" t="s">
        <v>107</v>
      </c>
      <c r="C25" s="190"/>
      <c r="D25" s="213"/>
      <c r="E25" s="191">
        <f t="shared" si="3"/>
        <v>0</v>
      </c>
      <c r="F25" s="217">
        <f t="shared" si="5"/>
        <v>0</v>
      </c>
      <c r="G25" s="193">
        <v>0</v>
      </c>
      <c r="H25" s="192"/>
      <c r="I25" s="194">
        <f t="shared" si="4"/>
        <v>0</v>
      </c>
      <c r="J25" s="220">
        <f t="shared" si="2"/>
        <v>0</v>
      </c>
    </row>
    <row r="26" spans="1:10" s="167" customFormat="1" ht="15.75" hidden="1" outlineLevel="1" x14ac:dyDescent="0.25">
      <c r="A26" s="170"/>
      <c r="B26" s="167" t="s">
        <v>108</v>
      </c>
      <c r="C26" s="190"/>
      <c r="D26" s="213"/>
      <c r="E26" s="191">
        <f t="shared" si="3"/>
        <v>0</v>
      </c>
      <c r="F26" s="217">
        <f t="shared" si="5"/>
        <v>0</v>
      </c>
      <c r="G26" s="193">
        <v>0</v>
      </c>
      <c r="H26" s="192"/>
      <c r="I26" s="194">
        <f t="shared" si="4"/>
        <v>0</v>
      </c>
      <c r="J26" s="220">
        <f t="shared" si="2"/>
        <v>0</v>
      </c>
    </row>
    <row r="27" spans="1:10" s="167" customFormat="1" ht="15.75" hidden="1" outlineLevel="1" x14ac:dyDescent="0.25">
      <c r="A27" s="170"/>
      <c r="B27" s="167" t="s">
        <v>109</v>
      </c>
      <c r="C27" s="190"/>
      <c r="D27" s="213"/>
      <c r="E27" s="191">
        <f t="shared" si="3"/>
        <v>0</v>
      </c>
      <c r="F27" s="217">
        <f t="shared" si="5"/>
        <v>0</v>
      </c>
      <c r="G27" s="193">
        <v>0</v>
      </c>
      <c r="H27" s="192"/>
      <c r="I27" s="194">
        <f t="shared" si="4"/>
        <v>0</v>
      </c>
      <c r="J27" s="220">
        <f t="shared" si="2"/>
        <v>0</v>
      </c>
    </row>
    <row r="28" spans="1:10" s="167" customFormat="1" ht="15.75" hidden="1" outlineLevel="1" x14ac:dyDescent="0.25">
      <c r="A28" s="170"/>
      <c r="B28" s="167" t="s">
        <v>110</v>
      </c>
      <c r="C28" s="190"/>
      <c r="D28" s="213"/>
      <c r="E28" s="191">
        <f t="shared" si="3"/>
        <v>0</v>
      </c>
      <c r="F28" s="217">
        <f t="shared" si="5"/>
        <v>0</v>
      </c>
      <c r="G28" s="193">
        <v>0</v>
      </c>
      <c r="H28" s="192"/>
      <c r="I28" s="194">
        <f t="shared" si="4"/>
        <v>0</v>
      </c>
      <c r="J28" s="220">
        <f t="shared" si="2"/>
        <v>0</v>
      </c>
    </row>
    <row r="29" spans="1:10" s="167" customFormat="1" ht="15.75" hidden="1" outlineLevel="1" x14ac:dyDescent="0.25">
      <c r="A29" s="170"/>
      <c r="B29" s="167" t="s">
        <v>111</v>
      </c>
      <c r="C29" s="190"/>
      <c r="D29" s="213"/>
      <c r="E29" s="191">
        <f t="shared" si="3"/>
        <v>0</v>
      </c>
      <c r="F29" s="217">
        <f t="shared" si="5"/>
        <v>0</v>
      </c>
      <c r="G29" s="193">
        <v>1200</v>
      </c>
      <c r="H29" s="192"/>
      <c r="I29" s="194">
        <f t="shared" si="4"/>
        <v>1200</v>
      </c>
      <c r="J29" s="220">
        <f t="shared" si="2"/>
        <v>100</v>
      </c>
    </row>
    <row r="30" spans="1:10" s="167" customFormat="1" ht="15.75" hidden="1" outlineLevel="1" x14ac:dyDescent="0.25">
      <c r="A30" s="170"/>
      <c r="B30" s="167" t="s">
        <v>112</v>
      </c>
      <c r="C30" s="190"/>
      <c r="D30" s="192"/>
      <c r="E30" s="176">
        <f t="shared" si="3"/>
        <v>0</v>
      </c>
      <c r="F30" s="217">
        <f t="shared" si="5"/>
        <v>0</v>
      </c>
      <c r="G30" s="193">
        <v>1320</v>
      </c>
      <c r="H30" s="192"/>
      <c r="I30" s="194">
        <f t="shared" si="4"/>
        <v>1320</v>
      </c>
      <c r="J30" s="219">
        <f t="shared" si="2"/>
        <v>110</v>
      </c>
    </row>
    <row r="31" spans="1:10" s="167" customFormat="1" ht="15.75" collapsed="1" x14ac:dyDescent="0.25">
      <c r="A31" s="170"/>
      <c r="C31" s="215">
        <f>SUM(C15:C30)</f>
        <v>0.99999999999999989</v>
      </c>
      <c r="D31" s="214" t="str">
        <f>IF(SUM(D15:D30)&lt;&gt;0,"Error, Percentages must total zero.","")</f>
        <v/>
      </c>
      <c r="E31" s="216">
        <f>SUM(E15:E30)</f>
        <v>0.99999999999999989</v>
      </c>
      <c r="F31" s="166"/>
      <c r="G31" s="286"/>
      <c r="H31" s="286"/>
      <c r="I31" s="286"/>
    </row>
    <row r="32" spans="1:10" ht="18" customHeight="1" x14ac:dyDescent="0.2">
      <c r="B32" s="12"/>
      <c r="C32" s="52"/>
      <c r="D32" s="57"/>
      <c r="E32" s="52"/>
    </row>
    <row r="33" spans="1:12" ht="16.5" customHeight="1" x14ac:dyDescent="0.3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 x14ac:dyDescent="0.25">
      <c r="A34" s="56" t="s">
        <v>94</v>
      </c>
      <c r="B34" s="56"/>
      <c r="C34" s="159">
        <v>505300</v>
      </c>
      <c r="D34" s="160">
        <f>+E34-C34</f>
        <v>42106.648999999976</v>
      </c>
      <c r="E34" s="275">
        <f>+E11*L34</f>
        <v>547406.64899999998</v>
      </c>
      <c r="F34" s="162">
        <f>+E34-C34</f>
        <v>42106.648999999976</v>
      </c>
      <c r="H34" s="109"/>
      <c r="I34" s="110" t="s">
        <v>33</v>
      </c>
      <c r="J34" s="109"/>
      <c r="K34" s="109"/>
      <c r="L34" s="113">
        <v>505.3</v>
      </c>
    </row>
    <row r="35" spans="1:12" ht="15" x14ac:dyDescent="0.25">
      <c r="A35" s="56" t="s">
        <v>95</v>
      </c>
      <c r="B35" s="56"/>
      <c r="C35" s="159">
        <f>+C34</f>
        <v>505300</v>
      </c>
      <c r="D35" s="160">
        <f>+E35-C35</f>
        <v>42106.648999999976</v>
      </c>
      <c r="E35" s="161">
        <f>+E$11*L35</f>
        <v>547406.64899999998</v>
      </c>
      <c r="F35" s="162">
        <f>+E35-E34</f>
        <v>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505.3</v>
      </c>
    </row>
    <row r="36" spans="1:12" ht="15" x14ac:dyDescent="0.25">
      <c r="A36" s="56" t="s">
        <v>96</v>
      </c>
      <c r="B36" s="56"/>
      <c r="C36" s="159">
        <f>+C35</f>
        <v>505300</v>
      </c>
      <c r="D36" s="160">
        <f>+E36-C36</f>
        <v>42106.648999999976</v>
      </c>
      <c r="E36" s="161">
        <f>+E$11*L36</f>
        <v>547406.64899999998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505.3</v>
      </c>
    </row>
    <row r="37" spans="1:12" ht="9" customHeight="1" x14ac:dyDescent="0.25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 x14ac:dyDescent="0.25">
      <c r="A38" s="56" t="s">
        <v>97</v>
      </c>
      <c r="B38" s="55"/>
      <c r="C38" s="159">
        <f>+C35</f>
        <v>505300</v>
      </c>
      <c r="D38" s="160">
        <f>+E38-C38</f>
        <v>42106.648999999976</v>
      </c>
      <c r="E38" s="161">
        <f>+L38*E11</f>
        <v>547406.64899999998</v>
      </c>
      <c r="F38" s="162">
        <f>+E38-C34</f>
        <v>42106.648999999976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505.3</v>
      </c>
    </row>
    <row r="39" spans="1:12" ht="20.25" hidden="1" x14ac:dyDescent="0.3">
      <c r="A39" s="51" t="s">
        <v>49</v>
      </c>
      <c r="C39" s="60"/>
      <c r="D39"/>
      <c r="E39" s="58"/>
      <c r="I39" s="110"/>
      <c r="J39" s="109"/>
      <c r="K39" s="109"/>
    </row>
    <row r="40" spans="1:12" hidden="1" x14ac:dyDescent="0.2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12" hidden="1" x14ac:dyDescent="0.2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12" ht="13.5" hidden="1" customHeight="1" x14ac:dyDescent="0.2">
      <c r="A42" s="59"/>
      <c r="B42" s="65"/>
      <c r="C42" s="61"/>
      <c r="D42" s="61"/>
      <c r="E42" s="29"/>
      <c r="F42" s="64"/>
      <c r="G42" s="65"/>
      <c r="H42" s="65"/>
    </row>
    <row r="43" spans="1:12" ht="13.5" hidden="1" customHeight="1" x14ac:dyDescent="0.2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12" hidden="1" x14ac:dyDescent="0.2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1:12" hidden="1" x14ac:dyDescent="0.2">
      <c r="C45" s="60"/>
      <c r="D45" s="62"/>
      <c r="E45" s="71"/>
      <c r="G45" s="65"/>
      <c r="H45" s="65"/>
    </row>
    <row r="46" spans="1:12" x14ac:dyDescent="0.2">
      <c r="C46" s="60"/>
      <c r="D46" s="62"/>
      <c r="E46" s="58"/>
      <c r="G46" s="65"/>
      <c r="H46" s="65"/>
    </row>
    <row r="47" spans="1:12" ht="20.25" hidden="1" customHeight="1" thickBot="1" x14ac:dyDescent="0.3">
      <c r="A47" s="287" t="s">
        <v>52</v>
      </c>
      <c r="B47" s="287"/>
      <c r="C47" s="287"/>
      <c r="D47" s="287"/>
      <c r="E47" s="287"/>
      <c r="F47" s="287"/>
      <c r="G47" s="65"/>
      <c r="H47" s="65"/>
    </row>
    <row r="48" spans="1:12" s="6" customFormat="1" ht="18" hidden="1" x14ac:dyDescent="0.25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hidden="1" customHeight="1" x14ac:dyDescent="0.2">
      <c r="A49" s="3"/>
      <c r="B49" t="s">
        <v>26</v>
      </c>
      <c r="C49" s="68">
        <f>+C34</f>
        <v>505300</v>
      </c>
      <c r="D49" s="69">
        <f>+D34</f>
        <v>42106.648999999976</v>
      </c>
      <c r="E49" s="68">
        <f>+E34</f>
        <v>547406.64899999998</v>
      </c>
      <c r="F49" s="79">
        <f>+E49/E50</f>
        <v>0.99999935879519253</v>
      </c>
      <c r="G49" s="65"/>
      <c r="H49" s="65"/>
      <c r="I49" s="144"/>
    </row>
    <row r="50" spans="1:9" ht="18.75" hidden="1" customHeight="1" x14ac:dyDescent="0.2">
      <c r="B50" s="14" t="s">
        <v>14</v>
      </c>
      <c r="C50" s="151">
        <f>ROUND(SUM(C49:C49),0)</f>
        <v>505300</v>
      </c>
      <c r="D50" s="151">
        <f>E50-C50</f>
        <v>42107</v>
      </c>
      <c r="E50" s="151">
        <f>ROUND(SUM(E49:E49),0)</f>
        <v>547407</v>
      </c>
      <c r="F50" s="79"/>
      <c r="G50" s="65"/>
      <c r="H50" s="65"/>
    </row>
    <row r="51" spans="1:9" hidden="1" x14ac:dyDescent="0.2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1:9" hidden="1" x14ac:dyDescent="0.2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9" hidden="1" x14ac:dyDescent="0.2">
      <c r="A53" s="9" t="s">
        <v>12</v>
      </c>
      <c r="C53" s="25"/>
      <c r="D53" s="25"/>
      <c r="E53" s="29"/>
      <c r="F53" s="79"/>
      <c r="G53" s="65"/>
      <c r="H53" s="65"/>
    </row>
    <row r="54" spans="1:9" s="9" customFormat="1" ht="18" hidden="1" customHeight="1" x14ac:dyDescent="0.2">
      <c r="B54" t="s">
        <v>22</v>
      </c>
      <c r="C54" s="68">
        <f>ROUND(+C43*C50,0)</f>
        <v>85901</v>
      </c>
      <c r="D54" s="69">
        <f>E54-C54</f>
        <v>7158</v>
      </c>
      <c r="E54" s="70">
        <f>ROUND(+E43*E50,0)</f>
        <v>93059</v>
      </c>
      <c r="F54" s="79">
        <f>+E54/E50</f>
        <v>0.16999965290907862</v>
      </c>
      <c r="G54" s="59"/>
      <c r="H54" s="59"/>
    </row>
    <row r="55" spans="1:9" hidden="1" x14ac:dyDescent="0.2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0.18267943230539616</v>
      </c>
      <c r="G55" s="65"/>
      <c r="H55" s="65"/>
    </row>
    <row r="56" spans="1:9" hidden="1" x14ac:dyDescent="0.2">
      <c r="A56" s="9" t="s">
        <v>4</v>
      </c>
      <c r="B56" s="15" t="s">
        <v>17</v>
      </c>
      <c r="C56" s="30">
        <f>SUM(C54:C55)</f>
        <v>185901</v>
      </c>
      <c r="D56" s="30">
        <f>SUM(D54:D55)</f>
        <v>7158</v>
      </c>
      <c r="E56" s="31">
        <f>SUM(E54:E55)</f>
        <v>193059</v>
      </c>
      <c r="F56" s="79"/>
      <c r="G56" s="65"/>
      <c r="H56" s="65"/>
    </row>
    <row r="57" spans="1:9" ht="18.75" hidden="1" thickBot="1" x14ac:dyDescent="0.3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9" ht="18" x14ac:dyDescent="0.25">
      <c r="A58" s="5"/>
      <c r="B58" s="5"/>
      <c r="C58" s="75"/>
      <c r="D58" s="76"/>
      <c r="E58" s="77"/>
      <c r="F58" s="63"/>
    </row>
  </sheetData>
  <scenarios current="0">
    <scenario name="SOLVER 1 all volume" count="5" user="geni" comment="Created by geni on 3/6/2019">
      <inputCells r="C6" val="285.171943769968"/>
      <inputCells r="C7" val="20" numFmtId="1"/>
      <inputCells r="C8" val="10.9681516834603" numFmtId="2"/>
      <inputCells r="C9" val="0.5" numFmtId="10"/>
      <inputCells r="C10" val="0.384714487749495" numFmtId="169"/>
    </scenario>
  </scenarios>
  <mergeCells count="3">
    <mergeCell ref="A2:E2"/>
    <mergeCell ref="G31:I31"/>
    <mergeCell ref="A47:F47"/>
  </mergeCells>
  <conditionalFormatting sqref="D34:D38">
    <cfRule type="aboveAverage" dxfId="6" priority="1"/>
  </conditionalFormatting>
  <printOptions horizontalCentered="1"/>
  <pageMargins left="0.75" right="0.25" top="0.28000000000000003" bottom="0.37" header="0.44" footer="0.17"/>
  <pageSetup scale="59" orientation="landscape" cellComments="asDisplayed" r:id="rId1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40"/>
  <sheetViews>
    <sheetView workbookViewId="0">
      <selection activeCell="B65" sqref="B65"/>
    </sheetView>
  </sheetViews>
  <sheetFormatPr defaultColWidth="9.140625" defaultRowHeight="15" x14ac:dyDescent="0.25"/>
  <cols>
    <col min="1" max="1" width="13.5703125" style="195" bestFit="1" customWidth="1"/>
    <col min="2" max="2" width="9.5703125" style="195" bestFit="1" customWidth="1"/>
    <col min="3" max="4" width="9.140625" style="195"/>
    <col min="5" max="5" width="25.85546875" style="195" bestFit="1" customWidth="1"/>
    <col min="6" max="6" width="11.5703125" style="195" bestFit="1" customWidth="1"/>
    <col min="7" max="16384" width="9.140625" style="195"/>
  </cols>
  <sheetData>
    <row r="1" spans="1:7" x14ac:dyDescent="0.25">
      <c r="A1" s="239" t="s">
        <v>114</v>
      </c>
      <c r="B1" s="239"/>
      <c r="C1" s="239"/>
      <c r="D1" s="239"/>
      <c r="E1" s="239"/>
      <c r="F1" s="239"/>
      <c r="G1" s="239"/>
    </row>
    <row r="2" spans="1:7" x14ac:dyDescent="0.25">
      <c r="A2" s="196" t="s">
        <v>82</v>
      </c>
      <c r="B2" s="196" t="s">
        <v>83</v>
      </c>
      <c r="C2" s="196" t="s">
        <v>87</v>
      </c>
      <c r="D2" s="196" t="s">
        <v>84</v>
      </c>
      <c r="E2" s="196" t="s">
        <v>85</v>
      </c>
      <c r="F2" s="197" t="s">
        <v>86</v>
      </c>
      <c r="G2" s="195" t="s">
        <v>93</v>
      </c>
    </row>
    <row r="3" spans="1:7" x14ac:dyDescent="0.25">
      <c r="A3" s="198"/>
      <c r="B3" s="206"/>
      <c r="C3" s="242" t="e">
        <f>+A3/B3/12</f>
        <v>#DIV/0!</v>
      </c>
      <c r="D3" s="196"/>
      <c r="E3" s="196"/>
      <c r="F3" s="199" t="e">
        <f>+A3/B3</f>
        <v>#DIV/0!</v>
      </c>
      <c r="G3" s="200" t="e">
        <f>+B3/B$19</f>
        <v>#DIV/0!</v>
      </c>
    </row>
    <row r="4" spans="1:7" x14ac:dyDescent="0.25">
      <c r="A4" s="201"/>
      <c r="B4" s="206"/>
      <c r="C4" s="242" t="e">
        <f t="shared" ref="C4:C18" si="0">+A4/B4/12</f>
        <v>#DIV/0!</v>
      </c>
      <c r="D4" s="196"/>
      <c r="E4" s="196"/>
      <c r="F4" s="199" t="e">
        <f t="shared" ref="F4:F18" si="1">+A4/B4</f>
        <v>#DIV/0!</v>
      </c>
      <c r="G4" s="200" t="e">
        <f t="shared" ref="G4:G18" si="2">+B4/B$19</f>
        <v>#DIV/0!</v>
      </c>
    </row>
    <row r="5" spans="1:7" x14ac:dyDescent="0.25">
      <c r="A5" s="198"/>
      <c r="B5" s="207"/>
      <c r="C5" s="242" t="e">
        <f t="shared" si="0"/>
        <v>#DIV/0!</v>
      </c>
      <c r="D5" s="196"/>
      <c r="E5" s="196"/>
      <c r="F5" s="199" t="e">
        <f t="shared" si="1"/>
        <v>#DIV/0!</v>
      </c>
      <c r="G5" s="200" t="e">
        <f t="shared" si="2"/>
        <v>#DIV/0!</v>
      </c>
    </row>
    <row r="6" spans="1:7" x14ac:dyDescent="0.25">
      <c r="A6" s="201"/>
      <c r="B6" s="206"/>
      <c r="C6" s="230" t="e">
        <f t="shared" si="0"/>
        <v>#DIV/0!</v>
      </c>
      <c r="D6" s="196"/>
      <c r="E6" s="196"/>
      <c r="F6" s="199" t="e">
        <f t="shared" si="1"/>
        <v>#DIV/0!</v>
      </c>
      <c r="G6" s="200" t="e">
        <f t="shared" si="2"/>
        <v>#DIV/0!</v>
      </c>
    </row>
    <row r="7" spans="1:7" x14ac:dyDescent="0.25">
      <c r="A7" s="201"/>
      <c r="B7" s="206"/>
      <c r="C7" s="230" t="e">
        <f t="shared" si="0"/>
        <v>#DIV/0!</v>
      </c>
      <c r="D7" s="196"/>
      <c r="E7" s="196"/>
      <c r="F7" s="199" t="e">
        <f t="shared" si="1"/>
        <v>#DIV/0!</v>
      </c>
      <c r="G7" s="200" t="e">
        <f t="shared" si="2"/>
        <v>#DIV/0!</v>
      </c>
    </row>
    <row r="8" spans="1:7" x14ac:dyDescent="0.25">
      <c r="A8" s="201"/>
      <c r="B8" s="206"/>
      <c r="C8" s="230" t="e">
        <f t="shared" si="0"/>
        <v>#DIV/0!</v>
      </c>
      <c r="D8" s="196"/>
      <c r="E8" s="196"/>
      <c r="F8" s="199" t="e">
        <f t="shared" si="1"/>
        <v>#DIV/0!</v>
      </c>
      <c r="G8" s="200" t="e">
        <f t="shared" si="2"/>
        <v>#DIV/0!</v>
      </c>
    </row>
    <row r="9" spans="1:7" x14ac:dyDescent="0.25">
      <c r="A9" s="201"/>
      <c r="B9" s="206"/>
      <c r="C9" s="230" t="e">
        <f t="shared" si="0"/>
        <v>#DIV/0!</v>
      </c>
      <c r="D9" s="196"/>
      <c r="E9" s="196"/>
      <c r="F9" s="199" t="e">
        <f t="shared" si="1"/>
        <v>#DIV/0!</v>
      </c>
      <c r="G9" s="200" t="e">
        <f t="shared" si="2"/>
        <v>#DIV/0!</v>
      </c>
    </row>
    <row r="10" spans="1:7" x14ac:dyDescent="0.25">
      <c r="A10" s="201"/>
      <c r="B10" s="206"/>
      <c r="C10" s="230" t="e">
        <f t="shared" si="0"/>
        <v>#DIV/0!</v>
      </c>
      <c r="D10" s="196"/>
      <c r="E10" s="196"/>
      <c r="F10" s="199" t="e">
        <f t="shared" si="1"/>
        <v>#DIV/0!</v>
      </c>
      <c r="G10" s="200" t="e">
        <f t="shared" si="2"/>
        <v>#DIV/0!</v>
      </c>
    </row>
    <row r="11" spans="1:7" x14ac:dyDescent="0.25">
      <c r="A11" s="201"/>
      <c r="B11" s="206"/>
      <c r="C11" s="230" t="e">
        <f t="shared" si="0"/>
        <v>#DIV/0!</v>
      </c>
      <c r="D11" s="196"/>
      <c r="E11" s="196"/>
      <c r="F11" s="199" t="e">
        <f t="shared" si="1"/>
        <v>#DIV/0!</v>
      </c>
      <c r="G11" s="200" t="e">
        <f t="shared" si="2"/>
        <v>#DIV/0!</v>
      </c>
    </row>
    <row r="12" spans="1:7" x14ac:dyDescent="0.25">
      <c r="A12" s="201"/>
      <c r="B12" s="206"/>
      <c r="C12" s="230" t="e">
        <f t="shared" si="0"/>
        <v>#DIV/0!</v>
      </c>
      <c r="D12" s="196"/>
      <c r="E12" s="196"/>
      <c r="F12" s="199" t="e">
        <f t="shared" si="1"/>
        <v>#DIV/0!</v>
      </c>
      <c r="G12" s="200" t="e">
        <f t="shared" si="2"/>
        <v>#DIV/0!</v>
      </c>
    </row>
    <row r="13" spans="1:7" x14ac:dyDescent="0.25">
      <c r="A13" s="201"/>
      <c r="B13" s="206"/>
      <c r="C13" s="230" t="e">
        <f t="shared" si="0"/>
        <v>#DIV/0!</v>
      </c>
      <c r="D13" s="196"/>
      <c r="E13" s="196"/>
      <c r="F13" s="199" t="e">
        <f t="shared" si="1"/>
        <v>#DIV/0!</v>
      </c>
      <c r="G13" s="200" t="e">
        <f t="shared" si="2"/>
        <v>#DIV/0!</v>
      </c>
    </row>
    <row r="14" spans="1:7" x14ac:dyDescent="0.25">
      <c r="A14" s="201"/>
      <c r="B14" s="206"/>
      <c r="C14" s="230" t="e">
        <f t="shared" si="0"/>
        <v>#DIV/0!</v>
      </c>
      <c r="D14" s="196"/>
      <c r="E14" s="196"/>
      <c r="F14" s="199" t="e">
        <f t="shared" si="1"/>
        <v>#DIV/0!</v>
      </c>
      <c r="G14" s="200" t="e">
        <f t="shared" si="2"/>
        <v>#DIV/0!</v>
      </c>
    </row>
    <row r="15" spans="1:7" x14ac:dyDescent="0.25">
      <c r="A15" s="201"/>
      <c r="B15" s="206"/>
      <c r="C15" s="230" t="e">
        <f t="shared" si="0"/>
        <v>#DIV/0!</v>
      </c>
      <c r="D15" s="196"/>
      <c r="E15" s="196"/>
      <c r="F15" s="199" t="e">
        <f t="shared" si="1"/>
        <v>#DIV/0!</v>
      </c>
      <c r="G15" s="200" t="e">
        <f t="shared" si="2"/>
        <v>#DIV/0!</v>
      </c>
    </row>
    <row r="16" spans="1:7" x14ac:dyDescent="0.25">
      <c r="A16" s="201"/>
      <c r="B16" s="206"/>
      <c r="C16" s="230" t="e">
        <f t="shared" si="0"/>
        <v>#DIV/0!</v>
      </c>
      <c r="D16" s="196"/>
      <c r="E16" s="196"/>
      <c r="F16" s="199" t="e">
        <f t="shared" si="1"/>
        <v>#DIV/0!</v>
      </c>
      <c r="G16" s="200" t="e">
        <f t="shared" si="2"/>
        <v>#DIV/0!</v>
      </c>
    </row>
    <row r="17" spans="1:7" x14ac:dyDescent="0.25">
      <c r="A17" s="201"/>
      <c r="B17" s="206"/>
      <c r="C17" s="230" t="e">
        <f t="shared" si="0"/>
        <v>#DIV/0!</v>
      </c>
      <c r="D17" s="196"/>
      <c r="E17" s="196"/>
      <c r="F17" s="199" t="e">
        <f t="shared" si="1"/>
        <v>#DIV/0!</v>
      </c>
      <c r="G17" s="200" t="e">
        <f t="shared" si="2"/>
        <v>#DIV/0!</v>
      </c>
    </row>
    <row r="18" spans="1:7" x14ac:dyDescent="0.25">
      <c r="A18" s="201"/>
      <c r="B18" s="206"/>
      <c r="C18" s="230" t="e">
        <f t="shared" si="0"/>
        <v>#DIV/0!</v>
      </c>
      <c r="D18" s="196"/>
      <c r="E18" s="196"/>
      <c r="F18" s="199" t="e">
        <f t="shared" si="1"/>
        <v>#DIV/0!</v>
      </c>
      <c r="G18" s="200" t="e">
        <f t="shared" si="2"/>
        <v>#DIV/0!</v>
      </c>
    </row>
    <row r="19" spans="1:7" ht="15.75" thickBot="1" x14ac:dyDescent="0.3">
      <c r="A19" s="202">
        <f>SUM(A3:A18)</f>
        <v>0</v>
      </c>
      <c r="B19" s="208">
        <f>SUM(B3:B18)</f>
        <v>0</v>
      </c>
      <c r="C19" s="231" t="e">
        <f>+A19/B19/12</f>
        <v>#DIV/0!</v>
      </c>
      <c r="F19" s="203" t="e">
        <f>ROUND(+A19/B19,2)</f>
        <v>#DIV/0!</v>
      </c>
      <c r="G19" s="232" t="e">
        <f>SUM(G3:G18)</f>
        <v>#DIV/0!</v>
      </c>
    </row>
    <row r="20" spans="1:7" ht="15.75" thickTop="1" x14ac:dyDescent="0.25"/>
    <row r="21" spans="1:7" x14ac:dyDescent="0.25">
      <c r="A21" s="240" t="s">
        <v>113</v>
      </c>
      <c r="B21" s="239"/>
      <c r="C21" s="239"/>
      <c r="D21" s="239"/>
      <c r="E21" s="239"/>
      <c r="F21" s="239"/>
      <c r="G21" s="239"/>
    </row>
    <row r="22" spans="1:7" x14ac:dyDescent="0.25">
      <c r="A22" s="196" t="s">
        <v>82</v>
      </c>
      <c r="B22" s="196" t="s">
        <v>83</v>
      </c>
      <c r="C22" s="196" t="s">
        <v>87</v>
      </c>
      <c r="D22" s="196" t="s">
        <v>84</v>
      </c>
      <c r="E22" s="196" t="s">
        <v>85</v>
      </c>
      <c r="F22" s="204"/>
    </row>
    <row r="23" spans="1:7" x14ac:dyDescent="0.25">
      <c r="A23" s="198"/>
      <c r="B23" s="206"/>
      <c r="C23" s="230" t="e">
        <f>+A23/B23/12</f>
        <v>#DIV/0!</v>
      </c>
      <c r="D23" s="196"/>
      <c r="E23" s="196"/>
      <c r="F23" s="199" t="e">
        <f>+A23/B23</f>
        <v>#DIV/0!</v>
      </c>
      <c r="G23" s="200" t="e">
        <f>+B23/B$39</f>
        <v>#DIV/0!</v>
      </c>
    </row>
    <row r="24" spans="1:7" x14ac:dyDescent="0.25">
      <c r="A24" s="201"/>
      <c r="B24" s="206"/>
      <c r="C24" s="230" t="e">
        <f t="shared" ref="C24:C38" si="3">+A24/B24/12</f>
        <v>#DIV/0!</v>
      </c>
      <c r="D24" s="196"/>
      <c r="E24" s="196"/>
      <c r="F24" s="199" t="e">
        <f t="shared" ref="F24:F38" si="4">+A24/B24</f>
        <v>#DIV/0!</v>
      </c>
      <c r="G24" s="200" t="e">
        <f t="shared" ref="G24:G38" si="5">+B24/B$39</f>
        <v>#DIV/0!</v>
      </c>
    </row>
    <row r="25" spans="1:7" x14ac:dyDescent="0.25">
      <c r="A25" s="198"/>
      <c r="B25" s="207"/>
      <c r="C25" s="242" t="e">
        <f t="shared" si="3"/>
        <v>#DIV/0!</v>
      </c>
      <c r="D25" s="243"/>
      <c r="E25" s="243"/>
      <c r="F25" s="244" t="e">
        <f t="shared" si="4"/>
        <v>#DIV/0!</v>
      </c>
      <c r="G25" s="200" t="e">
        <f t="shared" si="5"/>
        <v>#DIV/0!</v>
      </c>
    </row>
    <row r="26" spans="1:7" x14ac:dyDescent="0.25">
      <c r="A26" s="201"/>
      <c r="B26" s="206"/>
      <c r="C26" s="230" t="e">
        <f t="shared" si="3"/>
        <v>#DIV/0!</v>
      </c>
      <c r="D26" s="196"/>
      <c r="E26" s="196"/>
      <c r="F26" s="199" t="e">
        <f t="shared" si="4"/>
        <v>#DIV/0!</v>
      </c>
      <c r="G26" s="200" t="e">
        <f t="shared" si="5"/>
        <v>#DIV/0!</v>
      </c>
    </row>
    <row r="27" spans="1:7" x14ac:dyDescent="0.25">
      <c r="A27" s="201"/>
      <c r="B27" s="206"/>
      <c r="C27" s="230" t="e">
        <f t="shared" si="3"/>
        <v>#DIV/0!</v>
      </c>
      <c r="D27" s="196"/>
      <c r="E27" s="196"/>
      <c r="F27" s="199" t="e">
        <f t="shared" si="4"/>
        <v>#DIV/0!</v>
      </c>
      <c r="G27" s="200" t="e">
        <f t="shared" si="5"/>
        <v>#DIV/0!</v>
      </c>
    </row>
    <row r="28" spans="1:7" x14ac:dyDescent="0.25">
      <c r="A28" s="201"/>
      <c r="B28" s="206"/>
      <c r="C28" s="230" t="e">
        <f t="shared" si="3"/>
        <v>#DIV/0!</v>
      </c>
      <c r="D28" s="196"/>
      <c r="E28" s="196"/>
      <c r="F28" s="199" t="e">
        <f t="shared" si="4"/>
        <v>#DIV/0!</v>
      </c>
      <c r="G28" s="200" t="e">
        <f t="shared" si="5"/>
        <v>#DIV/0!</v>
      </c>
    </row>
    <row r="29" spans="1:7" x14ac:dyDescent="0.25">
      <c r="A29" s="201"/>
      <c r="B29" s="206"/>
      <c r="C29" s="230" t="e">
        <f t="shared" si="3"/>
        <v>#DIV/0!</v>
      </c>
      <c r="D29" s="196"/>
      <c r="E29" s="196"/>
      <c r="F29" s="199" t="e">
        <f t="shared" si="4"/>
        <v>#DIV/0!</v>
      </c>
      <c r="G29" s="200" t="e">
        <f t="shared" si="5"/>
        <v>#DIV/0!</v>
      </c>
    </row>
    <row r="30" spans="1:7" x14ac:dyDescent="0.25">
      <c r="A30" s="201"/>
      <c r="B30" s="206"/>
      <c r="C30" s="230" t="e">
        <f t="shared" si="3"/>
        <v>#DIV/0!</v>
      </c>
      <c r="D30" s="196"/>
      <c r="E30" s="196"/>
      <c r="F30" s="199" t="e">
        <f t="shared" si="4"/>
        <v>#DIV/0!</v>
      </c>
      <c r="G30" s="200" t="e">
        <f t="shared" si="5"/>
        <v>#DIV/0!</v>
      </c>
    </row>
    <row r="31" spans="1:7" x14ac:dyDescent="0.25">
      <c r="A31" s="201"/>
      <c r="B31" s="206"/>
      <c r="C31" s="230" t="e">
        <f t="shared" si="3"/>
        <v>#DIV/0!</v>
      </c>
      <c r="D31" s="196"/>
      <c r="E31" s="196"/>
      <c r="F31" s="199" t="e">
        <f t="shared" si="4"/>
        <v>#DIV/0!</v>
      </c>
      <c r="G31" s="200" t="e">
        <f t="shared" si="5"/>
        <v>#DIV/0!</v>
      </c>
    </row>
    <row r="32" spans="1:7" x14ac:dyDescent="0.25">
      <c r="A32" s="201"/>
      <c r="B32" s="206"/>
      <c r="C32" s="230" t="e">
        <f t="shared" si="3"/>
        <v>#DIV/0!</v>
      </c>
      <c r="D32" s="196"/>
      <c r="E32" s="196"/>
      <c r="F32" s="199" t="e">
        <f t="shared" si="4"/>
        <v>#DIV/0!</v>
      </c>
      <c r="G32" s="200" t="e">
        <f t="shared" si="5"/>
        <v>#DIV/0!</v>
      </c>
    </row>
    <row r="33" spans="1:7" x14ac:dyDescent="0.25">
      <c r="A33" s="201"/>
      <c r="B33" s="206"/>
      <c r="C33" s="230" t="e">
        <f t="shared" si="3"/>
        <v>#DIV/0!</v>
      </c>
      <c r="D33" s="196"/>
      <c r="E33" s="196"/>
      <c r="F33" s="199" t="e">
        <f t="shared" si="4"/>
        <v>#DIV/0!</v>
      </c>
      <c r="G33" s="200" t="e">
        <f t="shared" si="5"/>
        <v>#DIV/0!</v>
      </c>
    </row>
    <row r="34" spans="1:7" x14ac:dyDescent="0.25">
      <c r="A34" s="201"/>
      <c r="B34" s="206"/>
      <c r="C34" s="230"/>
      <c r="D34" s="196"/>
      <c r="E34" s="196"/>
      <c r="F34" s="199"/>
      <c r="G34" s="200" t="e">
        <f t="shared" si="5"/>
        <v>#DIV/0!</v>
      </c>
    </row>
    <row r="35" spans="1:7" x14ac:dyDescent="0.25">
      <c r="A35" s="201"/>
      <c r="B35" s="206"/>
      <c r="C35" s="230"/>
      <c r="D35" s="196"/>
      <c r="E35" s="196"/>
      <c r="F35" s="199"/>
      <c r="G35" s="200" t="e">
        <f t="shared" si="5"/>
        <v>#DIV/0!</v>
      </c>
    </row>
    <row r="36" spans="1:7" x14ac:dyDescent="0.25">
      <c r="A36" s="201"/>
      <c r="B36" s="206"/>
      <c r="C36" s="230" t="e">
        <f t="shared" si="3"/>
        <v>#DIV/0!</v>
      </c>
      <c r="D36" s="196"/>
      <c r="E36" s="196"/>
      <c r="F36" s="199" t="e">
        <f t="shared" si="4"/>
        <v>#DIV/0!</v>
      </c>
      <c r="G36" s="200" t="e">
        <f t="shared" si="5"/>
        <v>#DIV/0!</v>
      </c>
    </row>
    <row r="37" spans="1:7" x14ac:dyDescent="0.25">
      <c r="A37" s="201"/>
      <c r="B37" s="206"/>
      <c r="C37" s="230" t="e">
        <f t="shared" si="3"/>
        <v>#DIV/0!</v>
      </c>
      <c r="D37" s="196"/>
      <c r="E37" s="196"/>
      <c r="F37" s="199" t="e">
        <f t="shared" si="4"/>
        <v>#DIV/0!</v>
      </c>
      <c r="G37" s="200" t="e">
        <f t="shared" si="5"/>
        <v>#DIV/0!</v>
      </c>
    </row>
    <row r="38" spans="1:7" x14ac:dyDescent="0.25">
      <c r="A38" s="201"/>
      <c r="B38" s="206"/>
      <c r="C38" s="230" t="e">
        <f t="shared" si="3"/>
        <v>#DIV/0!</v>
      </c>
      <c r="D38" s="196"/>
      <c r="E38" s="196"/>
      <c r="F38" s="199" t="e">
        <f t="shared" si="4"/>
        <v>#DIV/0!</v>
      </c>
      <c r="G38" s="200" t="e">
        <f t="shared" si="5"/>
        <v>#DIV/0!</v>
      </c>
    </row>
    <row r="39" spans="1:7" ht="15.75" thickBot="1" x14ac:dyDescent="0.3">
      <c r="A39" s="202">
        <f>SUM(A23:A38)</f>
        <v>0</v>
      </c>
      <c r="B39" s="208">
        <f>SUM(B23:B38)</f>
        <v>0</v>
      </c>
      <c r="C39" s="231" t="e">
        <f>+A39/B39/12</f>
        <v>#DIV/0!</v>
      </c>
      <c r="F39" s="203" t="e">
        <f>+A39/B39</f>
        <v>#DIV/0!</v>
      </c>
      <c r="G39" s="232" t="e">
        <f>SUM(G23:G38)</f>
        <v>#DIV/0!</v>
      </c>
    </row>
    <row r="40" spans="1:7" ht="15.75" thickTop="1" x14ac:dyDescent="0.25">
      <c r="F40" s="2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49"/>
  <sheetViews>
    <sheetView zoomScaleNormal="100" workbookViewId="0">
      <selection activeCell="D12" sqref="D12"/>
    </sheetView>
  </sheetViews>
  <sheetFormatPr defaultRowHeight="12.75" x14ac:dyDescent="0.2"/>
  <cols>
    <col min="1" max="1" width="3.28515625" style="9" customWidth="1"/>
    <col min="2" max="2" width="48.7109375" customWidth="1"/>
    <col min="3" max="3" width="15.7109375" bestFit="1" customWidth="1"/>
    <col min="4" max="4" width="17" style="2" bestFit="1" customWidth="1"/>
    <col min="5" max="5" width="17.140625" style="9" bestFit="1" customWidth="1"/>
    <col min="6" max="6" width="6.85546875" style="35" bestFit="1" customWidth="1"/>
    <col min="8" max="8" width="11.28515625" bestFit="1" customWidth="1"/>
  </cols>
  <sheetData>
    <row r="1" spans="1:6" s="8" customFormat="1" ht="26.25" x14ac:dyDescent="0.4">
      <c r="A1" s="288" t="s">
        <v>115</v>
      </c>
      <c r="B1" s="288"/>
      <c r="C1" s="288"/>
      <c r="D1" s="288"/>
      <c r="E1" s="288"/>
      <c r="F1" s="37"/>
    </row>
    <row r="2" spans="1:6" s="6" customFormat="1" ht="20.25" customHeight="1" x14ac:dyDescent="0.25">
      <c r="A2" s="5" t="s">
        <v>71</v>
      </c>
      <c r="B2" s="5"/>
      <c r="C2" s="5" t="s">
        <v>98</v>
      </c>
      <c r="D2" s="156" t="s">
        <v>0</v>
      </c>
      <c r="E2" s="157"/>
      <c r="F2" s="158"/>
    </row>
    <row r="3" spans="1:6" ht="23.25" x14ac:dyDescent="0.35">
      <c r="A3" s="155" t="s">
        <v>18</v>
      </c>
      <c r="C3" s="67" t="s">
        <v>1</v>
      </c>
      <c r="D3" s="67" t="s">
        <v>20</v>
      </c>
      <c r="E3" s="67" t="s">
        <v>2</v>
      </c>
    </row>
    <row r="4" spans="1:6" x14ac:dyDescent="0.2">
      <c r="A4" s="9" t="s">
        <v>60</v>
      </c>
      <c r="C4" s="4"/>
      <c r="D4" s="4"/>
      <c r="E4" s="20"/>
    </row>
    <row r="5" spans="1:6" x14ac:dyDescent="0.2">
      <c r="B5" t="s">
        <v>27</v>
      </c>
      <c r="C5" s="86">
        <v>8500</v>
      </c>
      <c r="D5" s="27"/>
      <c r="E5" s="81">
        <f>+C5</f>
        <v>8500</v>
      </c>
    </row>
    <row r="6" spans="1:6" x14ac:dyDescent="0.2">
      <c r="B6" t="s">
        <v>26</v>
      </c>
      <c r="C6" s="86">
        <v>1000</v>
      </c>
      <c r="D6" s="27"/>
      <c r="E6" s="81">
        <f>+C6</f>
        <v>1000</v>
      </c>
    </row>
    <row r="7" spans="1:6" x14ac:dyDescent="0.2">
      <c r="A7" s="9" t="s">
        <v>5</v>
      </c>
      <c r="C7" s="13"/>
      <c r="D7" s="26"/>
      <c r="E7" s="81"/>
    </row>
    <row r="8" spans="1:6" x14ac:dyDescent="0.2">
      <c r="B8" t="s">
        <v>27</v>
      </c>
      <c r="C8" s="89">
        <v>0</v>
      </c>
      <c r="D8" s="181">
        <v>0.01</v>
      </c>
      <c r="E8" s="97">
        <f>SUM(C8:D8)</f>
        <v>0.01</v>
      </c>
    </row>
    <row r="9" spans="1:6" x14ac:dyDescent="0.2">
      <c r="B9" t="s">
        <v>26</v>
      </c>
      <c r="C9" s="89">
        <v>0.02</v>
      </c>
      <c r="D9" s="182">
        <v>-0.01</v>
      </c>
      <c r="E9" s="97">
        <f>SUM(C9:D9)</f>
        <v>0.01</v>
      </c>
    </row>
    <row r="10" spans="1:6" x14ac:dyDescent="0.2">
      <c r="A10" s="9" t="s">
        <v>6</v>
      </c>
      <c r="C10" s="12"/>
      <c r="D10" s="19"/>
      <c r="E10" s="98"/>
    </row>
    <row r="11" spans="1:6" x14ac:dyDescent="0.2">
      <c r="B11" t="s">
        <v>27</v>
      </c>
      <c r="C11" s="89">
        <v>0</v>
      </c>
      <c r="D11" s="182"/>
      <c r="E11" s="97">
        <f>SUM(C11:D11)</f>
        <v>0</v>
      </c>
    </row>
    <row r="12" spans="1:6" x14ac:dyDescent="0.2">
      <c r="B12" t="s">
        <v>26</v>
      </c>
      <c r="C12" s="89">
        <v>-0.02</v>
      </c>
      <c r="D12" s="43"/>
      <c r="E12" s="97">
        <f>SUM(C12:D12)</f>
        <v>-0.02</v>
      </c>
    </row>
    <row r="13" spans="1:6" x14ac:dyDescent="0.2">
      <c r="A13" s="9" t="s">
        <v>61</v>
      </c>
      <c r="C13" s="23"/>
      <c r="D13" s="18"/>
      <c r="E13" s="96"/>
    </row>
    <row r="14" spans="1:6" ht="15" x14ac:dyDescent="0.25">
      <c r="B14" t="s">
        <v>27</v>
      </c>
      <c r="C14" s="83">
        <f>+C5</f>
        <v>8500</v>
      </c>
      <c r="D14" s="153">
        <f>+(D8+D11)*C5</f>
        <v>85</v>
      </c>
      <c r="E14" s="99">
        <f>+C14+D14</f>
        <v>8585</v>
      </c>
    </row>
    <row r="15" spans="1:6" ht="15" x14ac:dyDescent="0.25">
      <c r="B15" t="s">
        <v>26</v>
      </c>
      <c r="C15" s="83">
        <f>+C6</f>
        <v>1000</v>
      </c>
      <c r="D15" s="153">
        <f>+(D9+D12)*C6</f>
        <v>-10</v>
      </c>
      <c r="E15" s="99">
        <f>+C15+D15</f>
        <v>990</v>
      </c>
    </row>
    <row r="16" spans="1:6" x14ac:dyDescent="0.2">
      <c r="A16" s="9" t="s">
        <v>7</v>
      </c>
      <c r="C16" s="12"/>
      <c r="E16" s="98"/>
    </row>
    <row r="17" spans="1:7" x14ac:dyDescent="0.2">
      <c r="B17" t="s">
        <v>27</v>
      </c>
      <c r="C17" s="85">
        <v>1</v>
      </c>
      <c r="D17" s="44">
        <v>0</v>
      </c>
      <c r="E17" s="100">
        <f>SUM(C17:D17)</f>
        <v>1</v>
      </c>
    </row>
    <row r="18" spans="1:7" x14ac:dyDescent="0.2">
      <c r="B18" t="s">
        <v>26</v>
      </c>
      <c r="C18" s="85">
        <v>1</v>
      </c>
      <c r="D18" s="45"/>
      <c r="E18" s="101">
        <f>SUM(C18:D18)</f>
        <v>1</v>
      </c>
    </row>
    <row r="19" spans="1:7" x14ac:dyDescent="0.2">
      <c r="A19" s="9" t="s">
        <v>9</v>
      </c>
      <c r="C19" s="24"/>
      <c r="D19" s="24" t="s">
        <v>50</v>
      </c>
      <c r="E19" s="102"/>
    </row>
    <row r="20" spans="1:7" ht="13.9" customHeight="1" x14ac:dyDescent="0.2">
      <c r="B20" t="s">
        <v>27</v>
      </c>
      <c r="C20" s="90">
        <v>1</v>
      </c>
      <c r="D20" s="138"/>
      <c r="E20" s="150">
        <f>SUM(C20:D20)</f>
        <v>1</v>
      </c>
    </row>
    <row r="21" spans="1:7" ht="24" customHeight="1" x14ac:dyDescent="0.2">
      <c r="B21" t="s">
        <v>26</v>
      </c>
      <c r="C21" s="90">
        <v>1</v>
      </c>
      <c r="D21" s="46"/>
      <c r="E21" s="150">
        <f>SUM(C21:D21)</f>
        <v>1</v>
      </c>
    </row>
    <row r="22" spans="1:7" x14ac:dyDescent="0.2">
      <c r="A22" s="9" t="s">
        <v>10</v>
      </c>
      <c r="C22" s="12"/>
      <c r="D22" s="19"/>
      <c r="E22" s="98"/>
    </row>
    <row r="23" spans="1:7" x14ac:dyDescent="0.2">
      <c r="B23" t="s">
        <v>27</v>
      </c>
      <c r="C23" s="91">
        <v>240</v>
      </c>
      <c r="D23" s="47"/>
      <c r="E23" s="103">
        <f>SUM(C23:D23)</f>
        <v>240</v>
      </c>
    </row>
    <row r="24" spans="1:7" x14ac:dyDescent="0.2">
      <c r="B24" t="s">
        <v>26</v>
      </c>
      <c r="C24" s="91">
        <v>480</v>
      </c>
      <c r="D24" s="47"/>
      <c r="E24" s="103">
        <f>SUM(C24:D24)</f>
        <v>480</v>
      </c>
    </row>
    <row r="25" spans="1:7" ht="16.5" customHeight="1" x14ac:dyDescent="0.2">
      <c r="A25" s="9" t="s">
        <v>21</v>
      </c>
      <c r="C25" s="12"/>
      <c r="E25" s="98"/>
    </row>
    <row r="26" spans="1:7" x14ac:dyDescent="0.2">
      <c r="B26" t="s">
        <v>27</v>
      </c>
      <c r="C26" s="82">
        <v>0.6</v>
      </c>
      <c r="D26" s="48"/>
      <c r="E26" s="104">
        <f>SUM(C26:D26)</f>
        <v>0.6</v>
      </c>
      <c r="G26" s="280"/>
    </row>
    <row r="27" spans="1:7" x14ac:dyDescent="0.2">
      <c r="B27" t="s">
        <v>26</v>
      </c>
      <c r="C27" s="82">
        <v>0.3</v>
      </c>
      <c r="D27" s="48"/>
      <c r="E27" s="104">
        <f>SUM(C27:D27)</f>
        <v>0.3</v>
      </c>
      <c r="G27" s="279"/>
    </row>
    <row r="28" spans="1:7" ht="13.5" customHeight="1" x14ac:dyDescent="0.2">
      <c r="A28" s="9" t="s">
        <v>12</v>
      </c>
      <c r="C28" s="91">
        <v>673420</v>
      </c>
      <c r="D28" s="183"/>
      <c r="E28" s="103">
        <f>+C28+D28</f>
        <v>673420</v>
      </c>
    </row>
    <row r="29" spans="1:7" ht="13.5" customHeight="1" x14ac:dyDescent="0.2">
      <c r="A29" s="9" t="s">
        <v>13</v>
      </c>
      <c r="C29" s="91">
        <v>250000</v>
      </c>
      <c r="D29" s="183"/>
      <c r="E29" s="103">
        <f>SUM(C29:D29)</f>
        <v>250000</v>
      </c>
    </row>
    <row r="30" spans="1:7" ht="27" customHeight="1" thickBot="1" x14ac:dyDescent="0.3">
      <c r="A30" s="289" t="s">
        <v>19</v>
      </c>
      <c r="B30" s="289"/>
      <c r="C30" s="289"/>
      <c r="D30" s="289"/>
      <c r="E30" s="289"/>
      <c r="F30" s="41"/>
    </row>
    <row r="31" spans="1:7" ht="24" customHeight="1" x14ac:dyDescent="0.2">
      <c r="A31" s="3" t="s">
        <v>15</v>
      </c>
      <c r="C31" s="17"/>
      <c r="D31" s="17"/>
      <c r="E31" s="22"/>
    </row>
    <row r="32" spans="1:7" x14ac:dyDescent="0.2">
      <c r="A32" s="3"/>
      <c r="B32" t="s">
        <v>27</v>
      </c>
      <c r="C32" s="92">
        <f>+C14*C17*C20*C23</f>
        <v>2040000</v>
      </c>
      <c r="D32" s="69">
        <f>E32-C32</f>
        <v>20400</v>
      </c>
      <c r="E32" s="71">
        <f>+E14*E17*E20*E23</f>
        <v>2060400</v>
      </c>
      <c r="F32" s="35">
        <f>+E32/E34</f>
        <v>0.81258873639375295</v>
      </c>
    </row>
    <row r="33" spans="1:9" x14ac:dyDescent="0.2">
      <c r="A33" s="3"/>
      <c r="B33" t="s">
        <v>26</v>
      </c>
      <c r="C33" s="93">
        <f>+C15*C18*C21*C24</f>
        <v>480000</v>
      </c>
      <c r="D33" s="69">
        <f>E33-C33</f>
        <v>-4800</v>
      </c>
      <c r="E33" s="71">
        <f>+E15*E18*E21*E24</f>
        <v>475200</v>
      </c>
      <c r="F33" s="39">
        <f>+E33/E34</f>
        <v>0.18741126360624705</v>
      </c>
      <c r="H33" s="11"/>
    </row>
    <row r="34" spans="1:9" x14ac:dyDescent="0.2">
      <c r="B34" s="14" t="s">
        <v>14</v>
      </c>
      <c r="C34" s="31">
        <f>ROUND(SUM(C32:C33),0)</f>
        <v>2520000</v>
      </c>
      <c r="D34" s="105">
        <f>E34-C34</f>
        <v>15600</v>
      </c>
      <c r="E34" s="105">
        <f>ROUND(SUM(E32:E33),0)</f>
        <v>2535600</v>
      </c>
      <c r="F34" s="35">
        <f>+F32+F33</f>
        <v>1</v>
      </c>
    </row>
    <row r="35" spans="1:9" x14ac:dyDescent="0.2">
      <c r="B35" t="s">
        <v>16</v>
      </c>
      <c r="C35" s="32">
        <f>(C32*C26)+ (C33*C27)</f>
        <v>1368000</v>
      </c>
      <c r="D35" s="72">
        <f>E35-C35</f>
        <v>10800</v>
      </c>
      <c r="E35" s="105">
        <f>(E32*E26)+ (E33*E27)</f>
        <v>1378800</v>
      </c>
      <c r="F35" s="39">
        <f>+E35/E34</f>
        <v>0.54377662091812584</v>
      </c>
    </row>
    <row r="36" spans="1:9" ht="18.75" customHeight="1" x14ac:dyDescent="0.2">
      <c r="B36" s="14" t="s">
        <v>23</v>
      </c>
      <c r="C36" s="30">
        <f>C34-C35</f>
        <v>1152000</v>
      </c>
      <c r="D36" s="30">
        <f>E36-C36</f>
        <v>4800</v>
      </c>
      <c r="E36" s="30">
        <f>E34-E35</f>
        <v>1156800</v>
      </c>
      <c r="F36" s="35">
        <f>+E36/E34</f>
        <v>0.4562233790818741</v>
      </c>
    </row>
    <row r="37" spans="1:9" ht="13.5" customHeight="1" x14ac:dyDescent="0.2">
      <c r="A37" s="9" t="s">
        <v>12</v>
      </c>
      <c r="C37" s="25"/>
      <c r="D37" s="107"/>
      <c r="E37" s="71"/>
    </row>
    <row r="38" spans="1:9" ht="13.5" customHeight="1" x14ac:dyDescent="0.2">
      <c r="B38" t="s">
        <v>22</v>
      </c>
      <c r="C38" s="68">
        <f>923420-250000</f>
        <v>673420</v>
      </c>
      <c r="D38" s="69"/>
      <c r="E38" s="71">
        <f>+D38+C38</f>
        <v>673420</v>
      </c>
      <c r="F38" s="35">
        <f>+E38/E34</f>
        <v>0.26558605458274176</v>
      </c>
    </row>
    <row r="39" spans="1:9" x14ac:dyDescent="0.2">
      <c r="B39" s="12" t="s">
        <v>13</v>
      </c>
      <c r="C39" s="68">
        <f>+C29</f>
        <v>250000</v>
      </c>
      <c r="D39" s="72"/>
      <c r="E39" s="71">
        <f>+C39+D39</f>
        <v>250000</v>
      </c>
      <c r="F39" s="35">
        <f>+E39/E34</f>
        <v>9.8595993058842091E-2</v>
      </c>
    </row>
    <row r="40" spans="1:9" x14ac:dyDescent="0.2">
      <c r="A40" s="9" t="s">
        <v>4</v>
      </c>
      <c r="B40" s="15" t="s">
        <v>17</v>
      </c>
      <c r="C40" s="30">
        <f>SUM(C38:C39)</f>
        <v>923420</v>
      </c>
      <c r="D40" s="106">
        <f>SUM(D38:D39)</f>
        <v>0</v>
      </c>
      <c r="E40" s="94">
        <f>SUM(E38:E39)</f>
        <v>923420</v>
      </c>
      <c r="I40" s="154"/>
    </row>
    <row r="41" spans="1:9" s="6" customFormat="1" ht="26.25" customHeight="1" thickBot="1" x14ac:dyDescent="0.3">
      <c r="A41" s="5" t="s">
        <v>15</v>
      </c>
      <c r="B41" s="5"/>
      <c r="C41" s="95">
        <f>+C36-C40</f>
        <v>228580</v>
      </c>
      <c r="D41" s="177">
        <f>+D36-D40</f>
        <v>4800</v>
      </c>
      <c r="E41" s="95">
        <f>+E36-E40</f>
        <v>233380</v>
      </c>
      <c r="F41" s="36">
        <f>+E41/E34</f>
        <v>9.2041331440290267E-2</v>
      </c>
    </row>
    <row r="42" spans="1:9" s="6" customFormat="1" ht="18.75" thickTop="1" x14ac:dyDescent="0.25">
      <c r="A42" s="5"/>
      <c r="B42" s="5"/>
      <c r="C42" s="34"/>
      <c r="D42" s="178">
        <f>+D41/C41</f>
        <v>2.0999212529530142E-2</v>
      </c>
      <c r="E42" s="42" t="s">
        <v>29</v>
      </c>
      <c r="F42" s="36">
        <v>0.15</v>
      </c>
    </row>
    <row r="43" spans="1:9" ht="31.5" customHeight="1" thickBot="1" x14ac:dyDescent="0.3">
      <c r="A43" s="290" t="s">
        <v>25</v>
      </c>
      <c r="B43" s="289"/>
      <c r="C43" s="289"/>
      <c r="D43" s="289"/>
      <c r="E43" s="289"/>
      <c r="F43" s="289"/>
    </row>
    <row r="44" spans="1:9" ht="18.75" customHeight="1" x14ac:dyDescent="0.25">
      <c r="A44" s="40"/>
      <c r="B44" s="40"/>
      <c r="C44" s="40"/>
      <c r="D44" s="40"/>
      <c r="E44" s="40"/>
      <c r="F44" s="40"/>
    </row>
    <row r="45" spans="1:9" x14ac:dyDescent="0.2">
      <c r="B45" t="s">
        <v>27</v>
      </c>
      <c r="C45" s="108">
        <f>+C14*C17*C20</f>
        <v>8500</v>
      </c>
      <c r="D45" s="28"/>
      <c r="E45" s="108">
        <f>+E14*E17*E20</f>
        <v>8585</v>
      </c>
    </row>
    <row r="46" spans="1:9" x14ac:dyDescent="0.2">
      <c r="B46" t="s">
        <v>26</v>
      </c>
      <c r="C46" s="108">
        <f>+C15*C18*C21</f>
        <v>1000</v>
      </c>
      <c r="D46" s="28"/>
      <c r="E46" s="108">
        <f>+E15*E18*E21</f>
        <v>990</v>
      </c>
    </row>
    <row r="47" spans="1:9" x14ac:dyDescent="0.2">
      <c r="B47" t="s">
        <v>24</v>
      </c>
      <c r="C47" s="108">
        <f>(+C46+C45)*0.02</f>
        <v>190</v>
      </c>
      <c r="D47" s="28"/>
      <c r="E47" s="108">
        <f>(+E46+E45)*0.02</f>
        <v>191.5</v>
      </c>
    </row>
    <row r="48" spans="1:9" s="9" customFormat="1" ht="18" customHeight="1" thickBot="1" x14ac:dyDescent="0.25">
      <c r="B48" s="9" t="s">
        <v>11</v>
      </c>
      <c r="C48" s="33">
        <f>SUM(C45:C47)</f>
        <v>9690</v>
      </c>
      <c r="D48" s="21"/>
      <c r="E48" s="33">
        <f>SUM(E45:E47)</f>
        <v>9766.5</v>
      </c>
      <c r="F48" s="38"/>
    </row>
    <row r="49" spans="3:4" ht="13.5" thickTop="1" x14ac:dyDescent="0.2">
      <c r="C49" s="11"/>
      <c r="D49" s="10"/>
    </row>
  </sheetData>
  <mergeCells count="3">
    <mergeCell ref="A1:E1"/>
    <mergeCell ref="A30:E30"/>
    <mergeCell ref="A43:F43"/>
  </mergeCells>
  <phoneticPr fontId="0" type="noConversion"/>
  <conditionalFormatting sqref="D14:D15">
    <cfRule type="aboveAverage" dxfId="5" priority="1"/>
  </conditionalFormatting>
  <printOptions horizontalCentered="1"/>
  <pageMargins left="0.75" right="0.25" top="0.28000000000000003" bottom="0.44" header="0.44" footer="0.17"/>
  <pageSetup orientation="landscape" cellComments="asDisplayed" r:id="rId1"/>
  <headerFooter alignWithMargins="0">
    <oddFooter>&amp;LProfit Equation Planner - Wineries&amp;CCopyright: Brotemarkle, Davis &amp; Co. LLP
707.963.4466&amp;Rwww.bdcocpa.com 
&amp;D 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J50"/>
  <sheetViews>
    <sheetView topLeftCell="A42" zoomScaleNormal="100" workbookViewId="0">
      <pane ySplit="1185" topLeftCell="A5" activePane="bottomLeft"/>
      <selection activeCell="B65" sqref="B65"/>
      <selection pane="bottomLeft" activeCell="D33" sqref="D33"/>
    </sheetView>
  </sheetViews>
  <sheetFormatPr defaultRowHeight="12.75" x14ac:dyDescent="0.2"/>
  <cols>
    <col min="1" max="1" width="3.28515625" style="9" customWidth="1"/>
    <col min="2" max="2" width="48.7109375" customWidth="1"/>
    <col min="3" max="3" width="15.7109375" bestFit="1" customWidth="1"/>
    <col min="4" max="4" width="17" style="2" bestFit="1" customWidth="1"/>
    <col min="5" max="5" width="17.140625" style="9" bestFit="1" customWidth="1"/>
    <col min="6" max="6" width="8.28515625" style="35" bestFit="1" customWidth="1"/>
    <col min="8" max="8" width="10.28515625" bestFit="1" customWidth="1"/>
    <col min="9" max="9" width="17" bestFit="1" customWidth="1"/>
  </cols>
  <sheetData>
    <row r="1" spans="1:6" s="8" customFormat="1" ht="26.25" x14ac:dyDescent="0.4">
      <c r="A1" s="285" t="s">
        <v>72</v>
      </c>
      <c r="B1" s="285"/>
      <c r="C1" s="285"/>
      <c r="D1" s="285"/>
      <c r="E1" s="285"/>
      <c r="F1" s="37"/>
    </row>
    <row r="2" spans="1:6" ht="21" customHeight="1" x14ac:dyDescent="0.25">
      <c r="A2" s="5" t="s">
        <v>53</v>
      </c>
      <c r="C2" s="3"/>
      <c r="D2" s="156" t="s">
        <v>0</v>
      </c>
      <c r="E2" s="1"/>
    </row>
    <row r="3" spans="1:6" ht="23.25" x14ac:dyDescent="0.35">
      <c r="A3" s="155" t="s">
        <v>18</v>
      </c>
      <c r="C3" s="67" t="s">
        <v>1</v>
      </c>
      <c r="D3" s="67" t="s">
        <v>20</v>
      </c>
      <c r="E3" s="67" t="s">
        <v>2</v>
      </c>
    </row>
    <row r="4" spans="1:6" x14ac:dyDescent="0.2">
      <c r="C4" s="16"/>
      <c r="D4" s="16"/>
      <c r="E4" s="16"/>
    </row>
    <row r="5" spans="1:6" x14ac:dyDescent="0.2">
      <c r="A5" s="9" t="s">
        <v>3</v>
      </c>
      <c r="C5" s="4"/>
      <c r="D5" s="4"/>
      <c r="E5" s="20"/>
    </row>
    <row r="6" spans="1:6" x14ac:dyDescent="0.2">
      <c r="B6" s="12" t="s">
        <v>62</v>
      </c>
      <c r="C6" s="86">
        <v>100</v>
      </c>
      <c r="D6" s="27"/>
      <c r="E6" s="114">
        <f>+C6+D6</f>
        <v>100</v>
      </c>
    </row>
    <row r="7" spans="1:6" x14ac:dyDescent="0.2">
      <c r="B7" s="12" t="s">
        <v>55</v>
      </c>
      <c r="C7" s="86">
        <v>300</v>
      </c>
      <c r="D7" s="27"/>
      <c r="E7" s="114">
        <f>+D7+C7</f>
        <v>300</v>
      </c>
    </row>
    <row r="8" spans="1:6" x14ac:dyDescent="0.2">
      <c r="A8" s="9" t="s">
        <v>5</v>
      </c>
      <c r="C8" s="13"/>
      <c r="D8" s="26"/>
      <c r="E8" s="114"/>
    </row>
    <row r="9" spans="1:6" x14ac:dyDescent="0.2">
      <c r="B9" t="s">
        <v>62</v>
      </c>
      <c r="C9" s="89">
        <v>0</v>
      </c>
      <c r="D9" s="278">
        <v>0.05</v>
      </c>
      <c r="E9" s="115">
        <f>SUM(C9:D9)</f>
        <v>0.05</v>
      </c>
    </row>
    <row r="10" spans="1:6" x14ac:dyDescent="0.2">
      <c r="B10" t="s">
        <v>55</v>
      </c>
      <c r="C10" s="89">
        <v>0.02</v>
      </c>
      <c r="D10" s="278">
        <v>0</v>
      </c>
      <c r="E10" s="115">
        <f>SUM(C10:D10)</f>
        <v>0.02</v>
      </c>
    </row>
    <row r="11" spans="1:6" x14ac:dyDescent="0.2">
      <c r="A11" s="9" t="s">
        <v>6</v>
      </c>
      <c r="C11" s="12"/>
      <c r="D11" s="19"/>
      <c r="E11" s="116"/>
    </row>
    <row r="12" spans="1:6" x14ac:dyDescent="0.2">
      <c r="B12" t="s">
        <v>62</v>
      </c>
      <c r="C12" s="89">
        <v>0</v>
      </c>
      <c r="D12" s="43"/>
      <c r="E12" s="115">
        <f>SUM(C12:D12)</f>
        <v>0</v>
      </c>
    </row>
    <row r="13" spans="1:6" x14ac:dyDescent="0.2">
      <c r="B13" t="s">
        <v>55</v>
      </c>
      <c r="C13" s="89">
        <v>-0.02</v>
      </c>
      <c r="D13" s="43"/>
      <c r="E13" s="115">
        <f>SUM(C13:D13)</f>
        <v>-0.02</v>
      </c>
    </row>
    <row r="14" spans="1:6" x14ac:dyDescent="0.2">
      <c r="A14" s="9" t="s">
        <v>8</v>
      </c>
      <c r="C14" s="23"/>
      <c r="D14" s="18"/>
      <c r="E14" s="117"/>
    </row>
    <row r="15" spans="1:6" ht="15" x14ac:dyDescent="0.25">
      <c r="B15" t="s">
        <v>62</v>
      </c>
      <c r="C15" s="124">
        <f>+C6</f>
        <v>100</v>
      </c>
      <c r="D15" s="153">
        <f>+E15-C15</f>
        <v>5</v>
      </c>
      <c r="E15" s="118">
        <f>+E6*(1+E9+E12)</f>
        <v>105</v>
      </c>
    </row>
    <row r="16" spans="1:6" ht="15" x14ac:dyDescent="0.25">
      <c r="B16" t="s">
        <v>55</v>
      </c>
      <c r="C16" s="124">
        <f>+C7</f>
        <v>300</v>
      </c>
      <c r="D16" s="153">
        <f>+E16-C16</f>
        <v>0</v>
      </c>
      <c r="E16" s="118">
        <f>+E7*(1+E10+E13)</f>
        <v>300</v>
      </c>
    </row>
    <row r="17" spans="1:10" x14ac:dyDescent="0.2">
      <c r="A17" s="9" t="s">
        <v>7</v>
      </c>
      <c r="C17" s="12"/>
      <c r="E17" s="116"/>
    </row>
    <row r="18" spans="1:10" x14ac:dyDescent="0.2">
      <c r="B18" t="s">
        <v>62</v>
      </c>
      <c r="C18" s="85">
        <v>6</v>
      </c>
      <c r="D18" s="44"/>
      <c r="E18" s="119">
        <f>SUM(C18:D18)</f>
        <v>6</v>
      </c>
    </row>
    <row r="19" spans="1:10" x14ac:dyDescent="0.2">
      <c r="B19" t="s">
        <v>55</v>
      </c>
      <c r="C19" s="85">
        <v>2</v>
      </c>
      <c r="D19" s="45"/>
      <c r="E19" s="120">
        <f>SUM(C19:D19)</f>
        <v>2</v>
      </c>
    </row>
    <row r="20" spans="1:10" x14ac:dyDescent="0.2">
      <c r="A20" s="9" t="s">
        <v>9</v>
      </c>
      <c r="C20" s="24"/>
      <c r="D20" s="24"/>
      <c r="E20" s="121"/>
    </row>
    <row r="21" spans="1:10" x14ac:dyDescent="0.2">
      <c r="B21" t="s">
        <v>74</v>
      </c>
      <c r="C21" s="134">
        <v>0.5</v>
      </c>
      <c r="D21" s="44"/>
      <c r="E21" s="140">
        <f>SUM(C21:D21)</f>
        <v>0.5</v>
      </c>
    </row>
    <row r="22" spans="1:10" x14ac:dyDescent="0.2">
      <c r="B22" t="s">
        <v>73</v>
      </c>
      <c r="C22" s="134">
        <v>0.25</v>
      </c>
      <c r="D22" s="139"/>
      <c r="E22" s="140">
        <f>SUM(C22:D22)</f>
        <v>0.25</v>
      </c>
    </row>
    <row r="23" spans="1:10" x14ac:dyDescent="0.2">
      <c r="A23" s="9" t="s">
        <v>10</v>
      </c>
      <c r="C23" s="12"/>
      <c r="D23" s="19"/>
      <c r="E23" s="116"/>
    </row>
    <row r="24" spans="1:10" x14ac:dyDescent="0.2">
      <c r="B24" s="12" t="s">
        <v>63</v>
      </c>
      <c r="C24" s="91">
        <v>576</v>
      </c>
      <c r="D24" s="47">
        <v>0</v>
      </c>
      <c r="E24" s="122">
        <f>SUM(C24:D24)</f>
        <v>576</v>
      </c>
    </row>
    <row r="25" spans="1:10" x14ac:dyDescent="0.2">
      <c r="B25" s="12" t="s">
        <v>56</v>
      </c>
      <c r="C25" s="91">
        <v>216</v>
      </c>
      <c r="D25" s="47">
        <v>0</v>
      </c>
      <c r="E25" s="122">
        <f>SUM(C25:D25)</f>
        <v>216</v>
      </c>
    </row>
    <row r="26" spans="1:10" ht="16.5" customHeight="1" x14ac:dyDescent="0.2">
      <c r="A26" s="9" t="s">
        <v>21</v>
      </c>
      <c r="C26" s="12"/>
      <c r="E26" s="116"/>
      <c r="H26" s="136" t="s">
        <v>59</v>
      </c>
      <c r="I26" s="136"/>
    </row>
    <row r="27" spans="1:10" x14ac:dyDescent="0.2">
      <c r="B27" t="s">
        <v>62</v>
      </c>
      <c r="C27" s="141">
        <v>288</v>
      </c>
      <c r="D27" s="48"/>
      <c r="E27" s="140">
        <f>SUM(C27:D27)</f>
        <v>288</v>
      </c>
      <c r="H27" s="111">
        <v>288</v>
      </c>
      <c r="I27" s="137" t="s">
        <v>57</v>
      </c>
    </row>
    <row r="28" spans="1:10" x14ac:dyDescent="0.2">
      <c r="B28" t="s">
        <v>55</v>
      </c>
      <c r="C28" s="141">
        <v>72</v>
      </c>
      <c r="D28" s="48"/>
      <c r="E28" s="140">
        <f>SUM(C28:D28)</f>
        <v>72</v>
      </c>
      <c r="H28" s="111">
        <v>72</v>
      </c>
      <c r="I28" s="137" t="s">
        <v>58</v>
      </c>
    </row>
    <row r="29" spans="1:10" ht="13.5" customHeight="1" x14ac:dyDescent="0.2">
      <c r="A29" s="9" t="s">
        <v>28</v>
      </c>
      <c r="C29" s="82">
        <v>7.0000000000000007E-2</v>
      </c>
      <c r="D29" s="48"/>
      <c r="E29" s="123">
        <f>SUM(C29:D29)</f>
        <v>7.0000000000000007E-2</v>
      </c>
    </row>
    <row r="30" spans="1:10" ht="13.5" customHeight="1" x14ac:dyDescent="0.2">
      <c r="A30" s="9" t="s">
        <v>13</v>
      </c>
      <c r="C30" s="91">
        <v>25000</v>
      </c>
      <c r="D30" s="49"/>
      <c r="E30" s="114">
        <f>SUM(C30:D30)</f>
        <v>25000</v>
      </c>
    </row>
    <row r="31" spans="1:10" ht="27" customHeight="1" thickBot="1" x14ac:dyDescent="0.3">
      <c r="A31" s="289" t="s">
        <v>19</v>
      </c>
      <c r="B31" s="289"/>
      <c r="C31" s="289"/>
      <c r="D31" s="289"/>
      <c r="E31" s="289"/>
      <c r="F31" s="41"/>
    </row>
    <row r="32" spans="1:10" ht="24" customHeight="1" x14ac:dyDescent="0.2">
      <c r="A32" s="3" t="s">
        <v>15</v>
      </c>
      <c r="C32" s="17"/>
      <c r="D32" s="17"/>
      <c r="E32" s="22"/>
      <c r="H32" s="110" t="s">
        <v>64</v>
      </c>
      <c r="I32" s="110" t="s">
        <v>65</v>
      </c>
      <c r="J32" s="109"/>
    </row>
    <row r="33" spans="1:10" x14ac:dyDescent="0.2">
      <c r="A33" s="3"/>
      <c r="B33" t="s">
        <v>62</v>
      </c>
      <c r="C33" s="125">
        <f>+C15*C18*C21*C24</f>
        <v>172800</v>
      </c>
      <c r="D33" s="126">
        <f>E33-C33</f>
        <v>8640</v>
      </c>
      <c r="E33" s="127">
        <f>+E15*E18*E21*E24</f>
        <v>181440</v>
      </c>
      <c r="F33" s="35">
        <f>+E33/E35</f>
        <v>0.84848484848484851</v>
      </c>
      <c r="H33" s="109">
        <f>+C15*C18*C21</f>
        <v>300</v>
      </c>
      <c r="I33" s="109"/>
      <c r="J33" s="109"/>
    </row>
    <row r="34" spans="1:10" x14ac:dyDescent="0.2">
      <c r="A34" s="3"/>
      <c r="B34" t="s">
        <v>55</v>
      </c>
      <c r="C34" s="129">
        <f>+C16*C19*C22*C25</f>
        <v>32400</v>
      </c>
      <c r="D34" s="126">
        <f>E34-C34</f>
        <v>0</v>
      </c>
      <c r="E34" s="129">
        <f>+E16*E19*E22*E25</f>
        <v>32400</v>
      </c>
      <c r="F34" s="39">
        <f>+E34/E35</f>
        <v>0.15151515151515152</v>
      </c>
      <c r="H34" s="109">
        <f>+C19*C22*C16</f>
        <v>150</v>
      </c>
      <c r="I34" s="109"/>
      <c r="J34" s="109"/>
    </row>
    <row r="35" spans="1:10" ht="13.5" thickBot="1" x14ac:dyDescent="0.25">
      <c r="B35" s="14" t="s">
        <v>14</v>
      </c>
      <c r="C35" s="151">
        <f>ROUND(SUM(C33:C34),0)</f>
        <v>205200</v>
      </c>
      <c r="D35" s="151">
        <f>E35-C35</f>
        <v>8640</v>
      </c>
      <c r="E35" s="277">
        <f>ROUND(SUM(E33:E34),0)</f>
        <v>213840</v>
      </c>
      <c r="F35" s="35">
        <f>+F33+F34</f>
        <v>1</v>
      </c>
      <c r="H35" s="152">
        <f>SUM(H33:H34)</f>
        <v>450</v>
      </c>
      <c r="I35" s="111">
        <f>+C35/H35</f>
        <v>456</v>
      </c>
      <c r="J35" s="109"/>
    </row>
    <row r="36" spans="1:10" ht="13.5" thickTop="1" x14ac:dyDescent="0.2">
      <c r="B36" t="s">
        <v>16</v>
      </c>
      <c r="C36" s="32">
        <v>0</v>
      </c>
      <c r="D36" s="32">
        <f>E36-C36</f>
        <v>0</v>
      </c>
      <c r="E36" s="32"/>
      <c r="F36" s="39">
        <f>+E36/E35</f>
        <v>0</v>
      </c>
    </row>
    <row r="37" spans="1:10" ht="18.75" customHeight="1" x14ac:dyDescent="0.2">
      <c r="B37" s="14" t="s">
        <v>23</v>
      </c>
      <c r="C37" s="30">
        <f>C35-C36</f>
        <v>205200</v>
      </c>
      <c r="D37" s="30">
        <f>E37-C37</f>
        <v>8640</v>
      </c>
      <c r="E37" s="31">
        <f>E35-E36</f>
        <v>213840</v>
      </c>
      <c r="F37" s="35">
        <f>+E37/E35</f>
        <v>1</v>
      </c>
    </row>
    <row r="38" spans="1:10" ht="13.5" customHeight="1" x14ac:dyDescent="0.2">
      <c r="A38" s="9" t="s">
        <v>12</v>
      </c>
      <c r="C38" s="25"/>
      <c r="D38" s="25"/>
      <c r="E38" s="29"/>
    </row>
    <row r="39" spans="1:10" ht="13.5" customHeight="1" x14ac:dyDescent="0.2">
      <c r="B39" t="s">
        <v>22</v>
      </c>
      <c r="C39" s="128"/>
      <c r="D39" s="126">
        <f>E39-C39</f>
        <v>0</v>
      </c>
      <c r="E39" s="129"/>
      <c r="F39" s="35">
        <f>+E39/E35</f>
        <v>0</v>
      </c>
    </row>
    <row r="40" spans="1:10" x14ac:dyDescent="0.2">
      <c r="B40" s="12" t="s">
        <v>13</v>
      </c>
      <c r="C40" s="128"/>
      <c r="D40" s="130">
        <f>E40-C40</f>
        <v>0</v>
      </c>
      <c r="E40" s="131"/>
      <c r="F40" s="35">
        <f>+E40/E35</f>
        <v>0</v>
      </c>
    </row>
    <row r="41" spans="1:10" ht="20.25" customHeight="1" x14ac:dyDescent="0.2">
      <c r="A41" s="9" t="s">
        <v>4</v>
      </c>
      <c r="B41" s="15" t="s">
        <v>17</v>
      </c>
      <c r="C41" s="30">
        <f>SUM(C39:C40)</f>
        <v>0</v>
      </c>
      <c r="D41" s="30">
        <f>SUM(D39:D40)</f>
        <v>0</v>
      </c>
      <c r="E41" s="31">
        <f>SUM(E39:E40)</f>
        <v>0</v>
      </c>
    </row>
    <row r="42" spans="1:10" s="6" customFormat="1" ht="22.5" customHeight="1" thickBot="1" x14ac:dyDescent="0.3">
      <c r="A42" s="5" t="s">
        <v>15</v>
      </c>
      <c r="B42" s="5"/>
      <c r="C42" s="132">
        <f>+C37-C41</f>
        <v>205200</v>
      </c>
      <c r="D42" s="142">
        <f>+D37-D41</f>
        <v>8640</v>
      </c>
      <c r="E42" s="132">
        <f>+E37-E41</f>
        <v>213840</v>
      </c>
      <c r="F42" s="36">
        <f>+E42/E35</f>
        <v>1</v>
      </c>
    </row>
    <row r="43" spans="1:10" s="6" customFormat="1" ht="17.25" customHeight="1" thickTop="1" x14ac:dyDescent="0.25">
      <c r="A43" s="5"/>
      <c r="B43" s="5"/>
      <c r="C43" s="34"/>
      <c r="D43" s="143">
        <f>+D42/C42</f>
        <v>4.2105263157894736E-2</v>
      </c>
      <c r="E43" s="42"/>
      <c r="F43" s="36"/>
    </row>
    <row r="44" spans="1:10" ht="31.5" customHeight="1" thickBot="1" x14ac:dyDescent="0.3">
      <c r="A44" s="290" t="s">
        <v>25</v>
      </c>
      <c r="B44" s="289"/>
      <c r="C44" s="289"/>
      <c r="D44" s="289"/>
      <c r="E44" s="289"/>
      <c r="F44" s="289"/>
    </row>
    <row r="45" spans="1:10" ht="18.75" customHeight="1" x14ac:dyDescent="0.25">
      <c r="A45" s="40"/>
      <c r="B45" s="40"/>
      <c r="C45" s="40"/>
      <c r="D45" s="40"/>
      <c r="E45" s="40"/>
      <c r="F45" s="40"/>
    </row>
    <row r="46" spans="1:10" x14ac:dyDescent="0.2">
      <c r="B46" t="s">
        <v>62</v>
      </c>
      <c r="C46" s="133">
        <f>+C15*C18*C21</f>
        <v>300</v>
      </c>
      <c r="D46" s="126"/>
      <c r="E46" s="133">
        <f>+E15*E18*E21</f>
        <v>315</v>
      </c>
    </row>
    <row r="47" spans="1:10" x14ac:dyDescent="0.2">
      <c r="B47" t="s">
        <v>55</v>
      </c>
      <c r="C47" s="133">
        <f>+C16*C19*C22</f>
        <v>150</v>
      </c>
      <c r="D47" s="126"/>
      <c r="E47" s="133">
        <f>+E16*E19*E22</f>
        <v>150</v>
      </c>
    </row>
    <row r="48" spans="1:10" x14ac:dyDescent="0.2">
      <c r="B48" t="s">
        <v>24</v>
      </c>
      <c r="C48" s="133">
        <f>(+C47+C46)*0.02</f>
        <v>9</v>
      </c>
      <c r="D48" s="126"/>
      <c r="E48" s="133">
        <f>(+E47+E46)*0.02</f>
        <v>9.3000000000000007</v>
      </c>
    </row>
    <row r="49" spans="2:6" s="9" customFormat="1" ht="18" customHeight="1" thickBot="1" x14ac:dyDescent="0.25">
      <c r="B49" s="9" t="s">
        <v>11</v>
      </c>
      <c r="C49" s="33">
        <f>SUM(C46:C48)</f>
        <v>459</v>
      </c>
      <c r="D49" s="21"/>
      <c r="E49" s="33">
        <f>SUM(E46:E48)</f>
        <v>474.3</v>
      </c>
      <c r="F49" s="38"/>
    </row>
    <row r="50" spans="2:6" ht="13.5" thickTop="1" x14ac:dyDescent="0.2">
      <c r="C50" s="11"/>
      <c r="D50" s="10"/>
    </row>
  </sheetData>
  <mergeCells count="3">
    <mergeCell ref="A1:E1"/>
    <mergeCell ref="A31:E31"/>
    <mergeCell ref="A44:F44"/>
  </mergeCells>
  <conditionalFormatting sqref="D15:D16">
    <cfRule type="aboveAverage" dxfId="4" priority="1"/>
  </conditionalFormatting>
  <printOptions horizontalCentered="1"/>
  <pageMargins left="0.75" right="0.25" top="0.28000000000000003" bottom="0.37" header="0.44" footer="0.17"/>
  <pageSetup scale="83" orientation="landscape" cellComments="asDisplayed" r:id="rId1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J41"/>
  <sheetViews>
    <sheetView zoomScaleNormal="100" workbookViewId="0">
      <selection activeCell="C18" sqref="C18"/>
    </sheetView>
  </sheetViews>
  <sheetFormatPr defaultRowHeight="12.75" x14ac:dyDescent="0.2"/>
  <cols>
    <col min="1" max="1" width="3.28515625" style="9" customWidth="1"/>
    <col min="2" max="2" width="48.7109375" customWidth="1"/>
    <col min="3" max="3" width="15.7109375" bestFit="1" customWidth="1"/>
    <col min="4" max="4" width="17" style="2" bestFit="1" customWidth="1"/>
    <col min="5" max="5" width="17.140625" style="9" bestFit="1" customWidth="1"/>
    <col min="6" max="6" width="8.28515625" style="35" bestFit="1" customWidth="1"/>
    <col min="8" max="8" width="10.28515625" bestFit="1" customWidth="1"/>
    <col min="9" max="9" width="17" bestFit="1" customWidth="1"/>
  </cols>
  <sheetData>
    <row r="1" spans="1:6" s="8" customFormat="1" ht="26.25" x14ac:dyDescent="0.4">
      <c r="A1" s="285" t="s">
        <v>72</v>
      </c>
      <c r="B1" s="285"/>
      <c r="C1" s="285"/>
      <c r="D1" s="285"/>
      <c r="E1" s="285"/>
      <c r="F1" s="37"/>
    </row>
    <row r="2" spans="1:6" ht="25.5" customHeight="1" x14ac:dyDescent="0.25">
      <c r="A2" s="5" t="s">
        <v>54</v>
      </c>
      <c r="C2" s="3"/>
      <c r="D2" s="156" t="s">
        <v>0</v>
      </c>
      <c r="E2" s="1"/>
    </row>
    <row r="3" spans="1:6" ht="23.25" x14ac:dyDescent="0.35">
      <c r="A3" s="155" t="s">
        <v>18</v>
      </c>
      <c r="C3" s="67" t="s">
        <v>1</v>
      </c>
      <c r="D3" s="67" t="s">
        <v>20</v>
      </c>
      <c r="E3" s="67" t="s">
        <v>2</v>
      </c>
    </row>
    <row r="4" spans="1:6" x14ac:dyDescent="0.2">
      <c r="C4" s="16"/>
      <c r="D4" s="16"/>
      <c r="E4" s="16"/>
    </row>
    <row r="5" spans="1:6" x14ac:dyDescent="0.2">
      <c r="A5" s="9" t="s">
        <v>3</v>
      </c>
      <c r="C5" s="4"/>
      <c r="D5" s="4"/>
      <c r="E5" s="20"/>
    </row>
    <row r="6" spans="1:6" x14ac:dyDescent="0.2">
      <c r="B6" s="12" t="s">
        <v>67</v>
      </c>
      <c r="C6" s="86">
        <v>250</v>
      </c>
      <c r="D6" s="27"/>
      <c r="E6" s="114">
        <f>+C6</f>
        <v>250</v>
      </c>
    </row>
    <row r="7" spans="1:6" x14ac:dyDescent="0.2">
      <c r="A7" s="9" t="s">
        <v>5</v>
      </c>
      <c r="C7" s="13"/>
      <c r="D7" s="26"/>
      <c r="E7" s="114"/>
    </row>
    <row r="8" spans="1:6" x14ac:dyDescent="0.2">
      <c r="B8" s="12" t="s">
        <v>67</v>
      </c>
      <c r="C8" s="89">
        <v>0</v>
      </c>
      <c r="D8" s="43"/>
      <c r="E8" s="115">
        <f>SUM(C8:D8)</f>
        <v>0</v>
      </c>
    </row>
    <row r="9" spans="1:6" x14ac:dyDescent="0.2">
      <c r="A9" s="9" t="s">
        <v>6</v>
      </c>
      <c r="C9" s="12"/>
      <c r="D9" s="19"/>
      <c r="E9" s="116"/>
    </row>
    <row r="10" spans="1:6" x14ac:dyDescent="0.2">
      <c r="B10" s="12" t="s">
        <v>67</v>
      </c>
      <c r="C10" s="89">
        <v>0</v>
      </c>
      <c r="D10" s="43"/>
      <c r="E10" s="115">
        <f>SUM(C10:D10)</f>
        <v>0</v>
      </c>
    </row>
    <row r="11" spans="1:6" x14ac:dyDescent="0.2">
      <c r="A11" s="9" t="s">
        <v>8</v>
      </c>
      <c r="C11" s="18"/>
      <c r="D11" s="18"/>
      <c r="E11"/>
    </row>
    <row r="12" spans="1:6" ht="15" x14ac:dyDescent="0.25">
      <c r="B12" s="12" t="s">
        <v>67</v>
      </c>
      <c r="C12" s="85">
        <f>+C6</f>
        <v>250</v>
      </c>
      <c r="D12" s="153"/>
      <c r="E12" s="118">
        <f>+E6*(1+E8+E10)</f>
        <v>250</v>
      </c>
    </row>
    <row r="13" spans="1:6" x14ac:dyDescent="0.2">
      <c r="A13" s="9" t="s">
        <v>7</v>
      </c>
      <c r="C13" s="12"/>
      <c r="E13" s="116"/>
    </row>
    <row r="14" spans="1:6" x14ac:dyDescent="0.2">
      <c r="B14" s="12" t="s">
        <v>67</v>
      </c>
      <c r="C14" s="85">
        <v>1</v>
      </c>
      <c r="D14" s="44"/>
      <c r="E14" s="119">
        <f>SUM(C14:D14)</f>
        <v>1</v>
      </c>
    </row>
    <row r="15" spans="1:6" x14ac:dyDescent="0.2">
      <c r="A15" s="9" t="s">
        <v>9</v>
      </c>
      <c r="C15" s="24"/>
      <c r="D15" s="24"/>
      <c r="E15" s="121"/>
    </row>
    <row r="16" spans="1:6" x14ac:dyDescent="0.2">
      <c r="B16" s="12" t="s">
        <v>75</v>
      </c>
      <c r="C16" s="134">
        <v>0.18</v>
      </c>
      <c r="D16" s="44"/>
      <c r="E16" s="140">
        <f>SUM(C16:D16)</f>
        <v>0.18</v>
      </c>
    </row>
    <row r="17" spans="1:10" x14ac:dyDescent="0.2">
      <c r="A17" s="9" t="s">
        <v>10</v>
      </c>
      <c r="C17" s="12"/>
      <c r="D17" s="19"/>
      <c r="E17" s="116"/>
    </row>
    <row r="18" spans="1:10" x14ac:dyDescent="0.2">
      <c r="B18" s="12" t="s">
        <v>68</v>
      </c>
      <c r="C18" s="91">
        <v>230</v>
      </c>
      <c r="D18" s="47"/>
      <c r="E18" s="122">
        <f>SUM(C18:D18)</f>
        <v>230</v>
      </c>
      <c r="H18" s="136" t="s">
        <v>59</v>
      </c>
      <c r="I18" s="136"/>
    </row>
    <row r="19" spans="1:10" ht="16.5" customHeight="1" x14ac:dyDescent="0.2">
      <c r="A19" s="9" t="s">
        <v>21</v>
      </c>
      <c r="C19" s="12"/>
      <c r="E19" s="116"/>
      <c r="H19" s="111">
        <v>288</v>
      </c>
      <c r="I19" s="137" t="s">
        <v>57</v>
      </c>
    </row>
    <row r="20" spans="1:10" x14ac:dyDescent="0.2">
      <c r="B20" s="12" t="s">
        <v>67</v>
      </c>
      <c r="C20" s="141">
        <f>+C18*0.3</f>
        <v>69</v>
      </c>
      <c r="D20" s="48"/>
      <c r="E20" s="140">
        <f>SUM(C20:D20)</f>
        <v>69</v>
      </c>
      <c r="H20" s="111">
        <v>72</v>
      </c>
      <c r="I20" s="137" t="s">
        <v>58</v>
      </c>
    </row>
    <row r="21" spans="1:10" ht="13.5" customHeight="1" x14ac:dyDescent="0.2">
      <c r="A21" s="9" t="s">
        <v>28</v>
      </c>
      <c r="C21" s="82">
        <v>0.02</v>
      </c>
      <c r="D21" s="48"/>
      <c r="E21" s="123">
        <f>SUM(C21:D21)</f>
        <v>0.02</v>
      </c>
    </row>
    <row r="22" spans="1:10" ht="13.5" customHeight="1" x14ac:dyDescent="0.2">
      <c r="A22" s="9" t="s">
        <v>13</v>
      </c>
      <c r="C22" s="91">
        <v>10000</v>
      </c>
      <c r="D22" s="49"/>
      <c r="E22" s="114">
        <f>SUM(C22:D22)</f>
        <v>10000</v>
      </c>
    </row>
    <row r="23" spans="1:10" ht="27" customHeight="1" thickBot="1" x14ac:dyDescent="0.3">
      <c r="A23" s="289" t="s">
        <v>19</v>
      </c>
      <c r="B23" s="289"/>
      <c r="C23" s="289"/>
      <c r="D23" s="289"/>
      <c r="E23" s="289"/>
      <c r="F23" s="41"/>
    </row>
    <row r="24" spans="1:10" ht="24" customHeight="1" x14ac:dyDescent="0.2">
      <c r="A24" s="3" t="s">
        <v>15</v>
      </c>
      <c r="C24" s="17"/>
      <c r="D24" s="17"/>
      <c r="E24" s="22"/>
      <c r="H24" s="110" t="s">
        <v>64</v>
      </c>
      <c r="I24" s="110" t="s">
        <v>65</v>
      </c>
      <c r="J24" s="109"/>
    </row>
    <row r="25" spans="1:10" x14ac:dyDescent="0.2">
      <c r="A25" s="3"/>
      <c r="B25" s="12" t="s">
        <v>70</v>
      </c>
      <c r="C25" s="125">
        <f>+C12*C14*C16*C18</f>
        <v>10350</v>
      </c>
      <c r="D25" s="126">
        <f>E25-C25</f>
        <v>0</v>
      </c>
      <c r="E25" s="127">
        <f>+E12*E14*E16*E18</f>
        <v>10350</v>
      </c>
      <c r="F25" s="35">
        <f>+E25/E26</f>
        <v>1</v>
      </c>
      <c r="H25" s="135">
        <f>+C12*C14*C16</f>
        <v>45</v>
      </c>
      <c r="I25" s="135">
        <f>+C25/H25</f>
        <v>230</v>
      </c>
      <c r="J25" s="109"/>
    </row>
    <row r="26" spans="1:10" x14ac:dyDescent="0.2">
      <c r="B26" s="14" t="s">
        <v>14</v>
      </c>
      <c r="C26" s="151">
        <f>ROUND(SUM(C25:C25),0)</f>
        <v>10350</v>
      </c>
      <c r="D26" s="151">
        <f>E26-C26</f>
        <v>0</v>
      </c>
      <c r="E26" s="151">
        <f>ROUND(SUM(E25:E25),0)</f>
        <v>10350</v>
      </c>
      <c r="H26" s="147"/>
      <c r="I26" s="53"/>
    </row>
    <row r="27" spans="1:10" x14ac:dyDescent="0.2">
      <c r="B27" t="s">
        <v>16</v>
      </c>
      <c r="C27" s="32"/>
      <c r="D27" s="32">
        <f>E27-C27</f>
        <v>0</v>
      </c>
      <c r="E27" s="32"/>
      <c r="F27" s="39">
        <f>+E27/E26</f>
        <v>0</v>
      </c>
    </row>
    <row r="28" spans="1:10" ht="18.75" customHeight="1" x14ac:dyDescent="0.2">
      <c r="B28" s="14" t="s">
        <v>76</v>
      </c>
      <c r="C28" s="30">
        <f>C26-C27</f>
        <v>10350</v>
      </c>
      <c r="D28" s="30">
        <f>E28-C28</f>
        <v>0</v>
      </c>
      <c r="E28" s="31">
        <f>E26-E27</f>
        <v>10350</v>
      </c>
      <c r="F28" s="35">
        <f>+E28/E26</f>
        <v>1</v>
      </c>
    </row>
    <row r="29" spans="1:10" ht="13.5" customHeight="1" x14ac:dyDescent="0.2">
      <c r="A29" s="9" t="s">
        <v>12</v>
      </c>
      <c r="C29" s="25"/>
      <c r="D29" s="25"/>
      <c r="E29" s="29"/>
    </row>
    <row r="30" spans="1:10" ht="13.5" customHeight="1" x14ac:dyDescent="0.2">
      <c r="B30" t="s">
        <v>22</v>
      </c>
      <c r="C30" s="128"/>
      <c r="D30" s="126">
        <f>E30-C30</f>
        <v>0</v>
      </c>
      <c r="E30" s="129"/>
      <c r="F30" s="35">
        <f>+E30/E26</f>
        <v>0</v>
      </c>
    </row>
    <row r="31" spans="1:10" x14ac:dyDescent="0.2">
      <c r="B31" s="12" t="s">
        <v>13</v>
      </c>
      <c r="C31" s="128"/>
      <c r="D31" s="130">
        <f>E31-C31</f>
        <v>0</v>
      </c>
      <c r="E31" s="131"/>
      <c r="F31" s="35">
        <f>+E31/E26</f>
        <v>0</v>
      </c>
    </row>
    <row r="32" spans="1:10" ht="20.25" customHeight="1" x14ac:dyDescent="0.2">
      <c r="A32" s="9" t="s">
        <v>4</v>
      </c>
      <c r="B32" s="15" t="s">
        <v>17</v>
      </c>
      <c r="C32" s="30">
        <f>SUM(C30:C31)</f>
        <v>0</v>
      </c>
      <c r="D32" s="30">
        <f>SUM(D30:D31)</f>
        <v>0</v>
      </c>
      <c r="E32" s="31">
        <f>SUM(E30:E31)</f>
        <v>0</v>
      </c>
    </row>
    <row r="33" spans="1:6" s="6" customFormat="1" ht="26.25" customHeight="1" thickBot="1" x14ac:dyDescent="0.3">
      <c r="A33" s="5" t="s">
        <v>15</v>
      </c>
      <c r="B33" s="5"/>
      <c r="C33" s="132">
        <f>+C28-C32</f>
        <v>10350</v>
      </c>
      <c r="D33" s="142">
        <f>+D28-D32</f>
        <v>0</v>
      </c>
      <c r="E33" s="132">
        <f>+E28-E32</f>
        <v>10350</v>
      </c>
      <c r="F33" s="36">
        <f>+E33/E26</f>
        <v>1</v>
      </c>
    </row>
    <row r="34" spans="1:6" s="6" customFormat="1" ht="18.75" thickTop="1" x14ac:dyDescent="0.25">
      <c r="A34" s="5"/>
      <c r="B34" s="5"/>
      <c r="C34" s="34"/>
      <c r="D34" s="145">
        <f>+D33/C33</f>
        <v>0</v>
      </c>
      <c r="E34" s="42"/>
      <c r="F34" s="36"/>
    </row>
    <row r="35" spans="1:6" ht="18" x14ac:dyDescent="0.25">
      <c r="A35" s="40"/>
      <c r="B35" s="40"/>
      <c r="C35" s="40"/>
      <c r="D35" s="40"/>
      <c r="E35" s="40"/>
      <c r="F35" s="40"/>
    </row>
    <row r="36" spans="1:6" ht="18.75" customHeight="1" x14ac:dyDescent="0.25">
      <c r="A36" s="40"/>
      <c r="B36" s="40"/>
      <c r="C36" s="40"/>
      <c r="D36" s="40"/>
      <c r="E36" s="40"/>
      <c r="F36" s="40"/>
    </row>
    <row r="37" spans="1:6" ht="18" x14ac:dyDescent="0.25">
      <c r="A37" s="146"/>
      <c r="B37" s="147"/>
      <c r="C37" s="40"/>
      <c r="D37" s="40"/>
      <c r="E37" s="40"/>
      <c r="F37" s="148"/>
    </row>
    <row r="38" spans="1:6" ht="18" x14ac:dyDescent="0.25">
      <c r="A38" s="146"/>
      <c r="B38" s="147"/>
      <c r="C38" s="40"/>
      <c r="D38" s="40"/>
      <c r="E38" s="40"/>
      <c r="F38" s="148"/>
    </row>
    <row r="39" spans="1:6" ht="18" x14ac:dyDescent="0.25">
      <c r="A39" s="146"/>
      <c r="B39" s="147"/>
      <c r="C39" s="40"/>
      <c r="D39" s="40"/>
      <c r="E39" s="40"/>
      <c r="F39" s="148"/>
    </row>
    <row r="40" spans="1:6" s="9" customFormat="1" ht="18" customHeight="1" x14ac:dyDescent="0.25">
      <c r="A40" s="146"/>
      <c r="B40" s="146"/>
      <c r="C40" s="40"/>
      <c r="D40" s="40"/>
      <c r="E40" s="40"/>
      <c r="F40" s="149"/>
    </row>
    <row r="41" spans="1:6" ht="18" x14ac:dyDescent="0.25">
      <c r="A41" s="146"/>
      <c r="B41" s="147"/>
      <c r="C41" s="40"/>
      <c r="D41" s="40"/>
      <c r="E41" s="40"/>
      <c r="F41" s="148"/>
    </row>
  </sheetData>
  <mergeCells count="2">
    <mergeCell ref="A1:E1"/>
    <mergeCell ref="A23:E23"/>
  </mergeCells>
  <conditionalFormatting sqref="D12">
    <cfRule type="aboveAverage" dxfId="3" priority="1"/>
  </conditionalFormatting>
  <printOptions horizontalCentered="1"/>
  <pageMargins left="0.75" right="0.25" top="0.28000000000000003" bottom="0.37" header="0.44" footer="0.17"/>
  <pageSetup scale="78" orientation="landscape" cellComments="asDisplayed" r:id="rId1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"/>
  <sheetViews>
    <sheetView zoomScaleNormal="100" workbookViewId="0">
      <selection activeCell="C9" sqref="C9:C10"/>
    </sheetView>
  </sheetViews>
  <sheetFormatPr defaultRowHeight="15" x14ac:dyDescent="0.2"/>
  <cols>
    <col min="1" max="1" width="3" customWidth="1"/>
    <col min="2" max="2" width="33.85546875" style="167" customWidth="1"/>
    <col min="3" max="3" width="17.28515625" style="167" customWidth="1"/>
    <col min="4" max="4" width="20" style="167" customWidth="1"/>
    <col min="5" max="5" width="14.28515625" style="167" bestFit="1" customWidth="1"/>
    <col min="6" max="6" width="11.28515625" bestFit="1" customWidth="1"/>
  </cols>
  <sheetData>
    <row r="1" spans="1:5" ht="16.5" thickBot="1" x14ac:dyDescent="0.3">
      <c r="A1" s="274"/>
      <c r="B1" s="170" t="s">
        <v>141</v>
      </c>
    </row>
    <row r="2" spans="1:5" ht="16.5" thickBot="1" x14ac:dyDescent="0.25">
      <c r="B2" s="249"/>
      <c r="C2" s="250" t="s">
        <v>119</v>
      </c>
      <c r="D2" s="250" t="s">
        <v>120</v>
      </c>
      <c r="E2" s="250" t="s">
        <v>121</v>
      </c>
    </row>
    <row r="3" spans="1:5" ht="16.5" thickBot="1" x14ac:dyDescent="0.25">
      <c r="B3" s="251" t="s">
        <v>122</v>
      </c>
      <c r="C3" s="264">
        <v>250</v>
      </c>
      <c r="D3" s="264">
        <v>300</v>
      </c>
      <c r="E3" s="265">
        <f>+D3+C3</f>
        <v>550</v>
      </c>
    </row>
    <row r="4" spans="1:5" ht="16.5" thickBot="1" x14ac:dyDescent="0.25">
      <c r="B4" s="252" t="s">
        <v>123</v>
      </c>
      <c r="C4" s="260">
        <v>60</v>
      </c>
      <c r="D4" s="262">
        <v>120</v>
      </c>
      <c r="E4" s="266"/>
    </row>
    <row r="5" spans="1:5" x14ac:dyDescent="0.2">
      <c r="B5" s="253" t="s">
        <v>124</v>
      </c>
      <c r="C5" s="295">
        <v>28.73</v>
      </c>
      <c r="D5" s="297">
        <v>28.73</v>
      </c>
      <c r="E5" s="299"/>
    </row>
    <row r="6" spans="1:5" ht="15.75" thickBot="1" x14ac:dyDescent="0.25">
      <c r="B6" s="254" t="s">
        <v>125</v>
      </c>
      <c r="C6" s="296"/>
      <c r="D6" s="298"/>
      <c r="E6" s="300"/>
    </row>
    <row r="7" spans="1:5" ht="16.5" thickBot="1" x14ac:dyDescent="0.25">
      <c r="B7" s="252" t="s">
        <v>126</v>
      </c>
      <c r="C7" s="260">
        <v>28.73</v>
      </c>
      <c r="D7" s="262">
        <v>28.73</v>
      </c>
      <c r="E7" s="262"/>
    </row>
    <row r="8" spans="1:5" ht="16.5" thickBot="1" x14ac:dyDescent="0.25">
      <c r="B8" s="251" t="s">
        <v>127</v>
      </c>
      <c r="C8" s="261">
        <f>+C4-C7</f>
        <v>31.27</v>
      </c>
      <c r="D8" s="263">
        <f>+D4-D7</f>
        <v>91.27</v>
      </c>
      <c r="E8" s="267">
        <f>+(C8*C3+D8*D3)/E3</f>
        <v>63.99727272727273</v>
      </c>
    </row>
    <row r="9" spans="1:5" ht="15.75" x14ac:dyDescent="0.2">
      <c r="B9" s="255" t="s">
        <v>128</v>
      </c>
      <c r="C9" s="301">
        <v>5000</v>
      </c>
      <c r="D9" s="301">
        <v>7500</v>
      </c>
      <c r="E9" s="301">
        <f>+D9+C9</f>
        <v>12500</v>
      </c>
    </row>
    <row r="10" spans="1:5" ht="16.5" thickBot="1" x14ac:dyDescent="0.25">
      <c r="B10" s="256" t="s">
        <v>129</v>
      </c>
      <c r="C10" s="302"/>
      <c r="D10" s="302"/>
      <c r="E10" s="302"/>
    </row>
    <row r="13" spans="1:5" ht="16.5" thickBot="1" x14ac:dyDescent="0.25">
      <c r="B13" s="256" t="s">
        <v>130</v>
      </c>
      <c r="C13" s="258">
        <f>+E9</f>
        <v>12500</v>
      </c>
    </row>
    <row r="14" spans="1:5" ht="16.5" thickBot="1" x14ac:dyDescent="0.25">
      <c r="B14" s="256" t="s">
        <v>131</v>
      </c>
      <c r="C14" s="258">
        <f>+E8</f>
        <v>63.99727272727273</v>
      </c>
    </row>
    <row r="15" spans="1:5" ht="16.5" customHeight="1" x14ac:dyDescent="0.2">
      <c r="B15" s="293" t="s">
        <v>135</v>
      </c>
      <c r="C15" s="291">
        <f>+C13/C14</f>
        <v>195.32082333053964</v>
      </c>
    </row>
    <row r="16" spans="1:5" ht="15.75" thickBot="1" x14ac:dyDescent="0.25">
      <c r="B16" s="294"/>
      <c r="C16" s="292"/>
    </row>
    <row r="17" spans="2:6" ht="16.5" thickBot="1" x14ac:dyDescent="0.25">
      <c r="B17" s="256"/>
      <c r="C17" s="257"/>
      <c r="D17" s="273" t="s">
        <v>15</v>
      </c>
      <c r="E17" s="273" t="s">
        <v>49</v>
      </c>
    </row>
    <row r="18" spans="2:6" ht="16.5" thickBot="1" x14ac:dyDescent="0.25">
      <c r="B18" s="256" t="s">
        <v>132</v>
      </c>
      <c r="C18" s="258">
        <f>+(E8*E3)-E9</f>
        <v>22698.5</v>
      </c>
      <c r="D18" s="271">
        <f>+E8*E3</f>
        <v>35198.5</v>
      </c>
      <c r="E18" s="272">
        <f>+E9</f>
        <v>12500</v>
      </c>
      <c r="F18" s="280"/>
    </row>
    <row r="19" spans="2:6" ht="16.5" thickBot="1" x14ac:dyDescent="0.25">
      <c r="B19" s="256" t="s">
        <v>133</v>
      </c>
      <c r="C19" s="258">
        <v>12500</v>
      </c>
    </row>
    <row r="20" spans="2:6" ht="16.5" thickBot="1" x14ac:dyDescent="0.25">
      <c r="B20" s="256" t="s">
        <v>134</v>
      </c>
      <c r="C20" s="259">
        <f>+C18/C19*100%</f>
        <v>1.8158799999999999</v>
      </c>
    </row>
    <row r="22" spans="2:6" ht="15.75" x14ac:dyDescent="0.25">
      <c r="B22" s="170" t="s">
        <v>137</v>
      </c>
      <c r="C22" s="270">
        <f>+'Scenario 1'!F38</f>
        <v>-33599.999999999942</v>
      </c>
      <c r="D22" s="167" t="s">
        <v>140</v>
      </c>
    </row>
    <row r="23" spans="2:6" ht="15.75" x14ac:dyDescent="0.25">
      <c r="B23" s="170" t="s">
        <v>139</v>
      </c>
      <c r="C23" s="270">
        <f>+'Scenario 2'!F38</f>
        <v>151590</v>
      </c>
      <c r="D23" s="269" t="s">
        <v>145</v>
      </c>
    </row>
    <row r="24" spans="2:6" ht="15.75" x14ac:dyDescent="0.25">
      <c r="B24" s="170" t="s">
        <v>138</v>
      </c>
      <c r="C24" s="270">
        <f>+'Scenario 3'!F38</f>
        <v>131310.00000000012</v>
      </c>
      <c r="D24" s="269" t="s">
        <v>142</v>
      </c>
    </row>
  </sheetData>
  <mergeCells count="8">
    <mergeCell ref="C15:C16"/>
    <mergeCell ref="B15:B16"/>
    <mergeCell ref="C5:C6"/>
    <mergeCell ref="D5:D6"/>
    <mergeCell ref="E5:E6"/>
    <mergeCell ref="C9:C10"/>
    <mergeCell ref="D9:D10"/>
    <mergeCell ref="E9:E10"/>
  </mergeCells>
  <printOptions horizontalCentered="1"/>
  <pageMargins left="0.25" right="0.25" top="0.28000000000000003" bottom="0.37" header="0.44" footer="0.17"/>
  <pageSetup orientation="landscape" cellComments="asDisplayed" r:id="rId1"/>
  <headerFooter scaleWithDoc="0" alignWithMargins="0">
    <oddHeader>&amp;R&amp;A</oddHeader>
    <oddFooter>&amp;LProfit Equation Planner - Wineries&amp;CCopyright: Brotemarkle, Davis &amp; Co. LLP
707.963.4466&amp;R&amp;D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L58"/>
  <sheetViews>
    <sheetView topLeftCell="A33" zoomScale="110" zoomScaleNormal="110" workbookViewId="0">
      <pane ySplit="2175" topLeftCell="A2" activePane="bottomLeft"/>
      <selection activeCell="B65" sqref="B65"/>
      <selection pane="bottomLeft" activeCell="B65" sqref="B65"/>
    </sheetView>
  </sheetViews>
  <sheetFormatPr defaultRowHeight="12.75" outlineLevelRow="1" x14ac:dyDescent="0.2"/>
  <cols>
    <col min="1" max="1" width="3.28515625" style="9" customWidth="1"/>
    <col min="2" max="2" width="50.42578125" customWidth="1"/>
    <col min="3" max="3" width="17" bestFit="1" customWidth="1"/>
    <col min="4" max="4" width="20.140625" style="2" customWidth="1"/>
    <col min="5" max="5" width="17.28515625" style="9" bestFit="1" customWidth="1"/>
    <col min="6" max="6" width="12.5703125" style="35" bestFit="1" customWidth="1"/>
    <col min="7" max="7" width="11.5703125" bestFit="1" customWidth="1"/>
    <col min="8" max="8" width="18" bestFit="1" customWidth="1"/>
    <col min="9" max="9" width="15.7109375" customWidth="1"/>
    <col min="10" max="10" width="14.42578125" bestFit="1" customWidth="1"/>
    <col min="12" max="12" width="16" bestFit="1" customWidth="1"/>
    <col min="13" max="13" width="14.28515625" bestFit="1" customWidth="1"/>
  </cols>
  <sheetData>
    <row r="1" spans="1:12" ht="6" customHeight="1" x14ac:dyDescent="0.2"/>
    <row r="2" spans="1:12" s="8" customFormat="1" ht="26.25" x14ac:dyDescent="0.4">
      <c r="A2" s="285" t="s">
        <v>116</v>
      </c>
      <c r="B2" s="285"/>
      <c r="C2" s="285"/>
      <c r="D2" s="285"/>
      <c r="E2" s="285"/>
      <c r="F2" s="37"/>
      <c r="H2"/>
      <c r="I2" s="1" t="s">
        <v>80</v>
      </c>
      <c r="J2" s="1" t="s">
        <v>81</v>
      </c>
    </row>
    <row r="3" spans="1:12" ht="15.75" x14ac:dyDescent="0.25">
      <c r="A3" s="170" t="s">
        <v>26</v>
      </c>
      <c r="C3" s="3"/>
      <c r="E3" s="1"/>
      <c r="H3" s="8" t="s">
        <v>78</v>
      </c>
      <c r="I3" s="237">
        <f>+C6*C7</f>
        <v>5720</v>
      </c>
      <c r="J3" s="235"/>
    </row>
    <row r="4" spans="1:12" ht="15" x14ac:dyDescent="0.2">
      <c r="C4" s="7"/>
      <c r="D4" s="224" t="s">
        <v>0</v>
      </c>
      <c r="E4" s="7"/>
      <c r="H4" t="s">
        <v>79</v>
      </c>
      <c r="I4" s="237">
        <f>+C8*C6</f>
        <v>2600</v>
      </c>
      <c r="J4" s="235"/>
    </row>
    <row r="5" spans="1:12" ht="20.25" x14ac:dyDescent="0.3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 t="e">
        <f>+J5/J4</f>
        <v>#DIV/0!</v>
      </c>
      <c r="L5" s="223" t="s">
        <v>99</v>
      </c>
    </row>
    <row r="6" spans="1:12" s="167" customFormat="1" ht="15" x14ac:dyDescent="0.2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12" s="167" customFormat="1" ht="15" x14ac:dyDescent="0.2">
      <c r="A7" s="163" t="s">
        <v>77</v>
      </c>
      <c r="B7" s="163"/>
      <c r="C7" s="184">
        <f>+Retail!C7</f>
        <v>22</v>
      </c>
      <c r="D7" s="180"/>
      <c r="E7" s="188">
        <f t="shared" ref="E7:E8" si="0">+C7+D7</f>
        <v>22</v>
      </c>
      <c r="F7" s="209"/>
      <c r="H7" s="167" t="s">
        <v>136</v>
      </c>
    </row>
    <row r="8" spans="1:12" s="167" customFormat="1" ht="15" x14ac:dyDescent="0.2">
      <c r="A8" s="163" t="s">
        <v>30</v>
      </c>
      <c r="B8" s="163"/>
      <c r="C8" s="186">
        <v>10</v>
      </c>
      <c r="D8" s="241"/>
      <c r="E8" s="245">
        <f t="shared" si="0"/>
        <v>10</v>
      </c>
      <c r="F8" s="209"/>
    </row>
    <row r="9" spans="1:12" s="167" customFormat="1" ht="15.75" x14ac:dyDescent="0.25">
      <c r="A9" s="163" t="s">
        <v>32</v>
      </c>
      <c r="B9" s="163"/>
      <c r="C9" s="189">
        <f>+C8/C7</f>
        <v>0.45454545454545453</v>
      </c>
      <c r="D9" s="168"/>
      <c r="E9" s="169">
        <f>+E8/E7</f>
        <v>0.45454545454545453</v>
      </c>
      <c r="F9" s="166"/>
      <c r="H9" s="170" t="s">
        <v>46</v>
      </c>
      <c r="I9" s="170" t="s">
        <v>47</v>
      </c>
      <c r="J9" s="170" t="s">
        <v>48</v>
      </c>
    </row>
    <row r="10" spans="1:12" s="167" customFormat="1" ht="15" x14ac:dyDescent="0.2">
      <c r="A10" s="163" t="s">
        <v>35</v>
      </c>
      <c r="B10" s="163"/>
      <c r="C10" s="185">
        <f>+H11/12</f>
        <v>0.38461666666666666</v>
      </c>
      <c r="D10" s="212"/>
      <c r="E10" s="187">
        <f>+C10+D10</f>
        <v>0.38461666666666666</v>
      </c>
      <c r="F10" s="166"/>
      <c r="G10" s="171"/>
      <c r="H10" s="234">
        <f>+H11</f>
        <v>4.6154000000000002</v>
      </c>
      <c r="I10" s="211">
        <f>ROUND(+H10/12,6)</f>
        <v>0.38461699999999999</v>
      </c>
      <c r="J10" s="211">
        <f>ROUND(+I10-C10,7)</f>
        <v>2.9999999999999999E-7</v>
      </c>
    </row>
    <row r="11" spans="1:12" s="167" customFormat="1" ht="24" customHeight="1" thickBot="1" x14ac:dyDescent="0.25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1000</v>
      </c>
      <c r="F11" s="166"/>
      <c r="H11" s="218">
        <v>4.6154000000000002</v>
      </c>
      <c r="I11" s="167" t="s">
        <v>1</v>
      </c>
    </row>
    <row r="12" spans="1:12" s="167" customFormat="1" ht="3" customHeight="1" thickTop="1" x14ac:dyDescent="0.25">
      <c r="A12" s="170"/>
      <c r="C12" s="173"/>
      <c r="D12" s="174"/>
      <c r="E12" s="173"/>
      <c r="F12" s="166"/>
    </row>
    <row r="13" spans="1:12" s="167" customFormat="1" ht="18" x14ac:dyDescent="0.25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2" s="167" customFormat="1" ht="15.75" x14ac:dyDescent="0.2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2" s="167" customFormat="1" ht="15.75" x14ac:dyDescent="0.25">
      <c r="A15" s="170"/>
      <c r="B15" s="167" t="s">
        <v>117</v>
      </c>
      <c r="C15" s="284">
        <f>+Retail!C15</f>
        <v>0.41</v>
      </c>
      <c r="D15" s="246">
        <v>-0.02</v>
      </c>
      <c r="E15" s="284">
        <f>+D15+C15</f>
        <v>0.38999999999999996</v>
      </c>
      <c r="F15" s="217">
        <f t="shared" ref="F15:F19" si="1">+D15*$C$11</f>
        <v>-20.000066666666665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2" s="167" customFormat="1" ht="15.75" x14ac:dyDescent="0.25">
      <c r="A16" s="170"/>
      <c r="B16" s="167" t="s">
        <v>118</v>
      </c>
      <c r="C16" s="284">
        <f>+Retail!C16</f>
        <v>0.49</v>
      </c>
      <c r="D16" s="247">
        <v>-0.02</v>
      </c>
      <c r="E16" s="284">
        <f>+D16+C16</f>
        <v>0.47</v>
      </c>
      <c r="F16" s="217">
        <f t="shared" si="1"/>
        <v>-20.000066666666665</v>
      </c>
      <c r="G16" s="193">
        <v>720</v>
      </c>
      <c r="H16" s="192"/>
      <c r="I16" s="194">
        <f>+H16+G16</f>
        <v>720</v>
      </c>
      <c r="J16" s="220">
        <f t="shared" ref="J16:J30" si="2">+I16/12</f>
        <v>60</v>
      </c>
    </row>
    <row r="17" spans="1:10" s="167" customFormat="1" ht="15.75" x14ac:dyDescent="0.25">
      <c r="A17" s="170"/>
      <c r="B17" s="167" t="str">
        <f>+Retail!B17</f>
        <v>Cab Franc</v>
      </c>
      <c r="C17" s="284">
        <f>+Retail!C17</f>
        <v>0.1</v>
      </c>
      <c r="D17" s="268">
        <v>-0.06</v>
      </c>
      <c r="E17" s="284">
        <f t="shared" ref="E17:E30" si="3">+D17+C17</f>
        <v>4.0000000000000008E-2</v>
      </c>
      <c r="F17" s="217">
        <f t="shared" si="1"/>
        <v>-60.0002</v>
      </c>
      <c r="G17" s="193">
        <f>+Retail!G17</f>
        <v>540</v>
      </c>
      <c r="H17" s="192"/>
      <c r="I17" s="194">
        <f t="shared" ref="I17:I30" si="4">+H17+G17</f>
        <v>540</v>
      </c>
      <c r="J17" s="220">
        <f t="shared" si="2"/>
        <v>45</v>
      </c>
    </row>
    <row r="18" spans="1:10" s="167" customFormat="1" ht="15.75" x14ac:dyDescent="0.25">
      <c r="A18" s="170"/>
      <c r="B18" s="167" t="s">
        <v>144</v>
      </c>
      <c r="C18" s="190"/>
      <c r="D18" s="248">
        <v>0.1</v>
      </c>
      <c r="E18" s="191">
        <f t="shared" si="3"/>
        <v>0.1</v>
      </c>
      <c r="F18" s="217">
        <f t="shared" si="1"/>
        <v>100.00033333333334</v>
      </c>
      <c r="G18" s="193">
        <v>180</v>
      </c>
      <c r="H18" s="192"/>
      <c r="I18" s="194">
        <f t="shared" si="4"/>
        <v>180</v>
      </c>
      <c r="J18" s="220">
        <f t="shared" si="2"/>
        <v>15</v>
      </c>
    </row>
    <row r="19" spans="1:10" s="167" customFormat="1" ht="15.75" x14ac:dyDescent="0.25">
      <c r="A19" s="170"/>
      <c r="B19" s="167" t="s">
        <v>101</v>
      </c>
      <c r="C19" s="190"/>
      <c r="D19" s="248"/>
      <c r="E19" s="191">
        <f t="shared" si="3"/>
        <v>0</v>
      </c>
      <c r="F19" s="217">
        <f t="shared" si="1"/>
        <v>0</v>
      </c>
      <c r="G19" s="193">
        <v>0</v>
      </c>
      <c r="H19" s="192"/>
      <c r="I19" s="194">
        <f t="shared" si="4"/>
        <v>0</v>
      </c>
      <c r="J19" s="220">
        <f t="shared" si="2"/>
        <v>0</v>
      </c>
    </row>
    <row r="20" spans="1:10" s="167" customFormat="1" ht="15.75" x14ac:dyDescent="0.25">
      <c r="A20" s="170"/>
      <c r="B20" s="167" t="s">
        <v>102</v>
      </c>
      <c r="C20" s="190"/>
      <c r="D20" s="248"/>
      <c r="E20" s="191">
        <f t="shared" si="3"/>
        <v>0</v>
      </c>
      <c r="F20" s="217">
        <f>+D20*$C$11</f>
        <v>0</v>
      </c>
      <c r="G20" s="193">
        <v>0</v>
      </c>
      <c r="H20" s="192"/>
      <c r="I20" s="194">
        <f t="shared" si="4"/>
        <v>0</v>
      </c>
      <c r="J20" s="220">
        <f t="shared" si="2"/>
        <v>0</v>
      </c>
    </row>
    <row r="21" spans="1:10" s="167" customFormat="1" ht="15.75" x14ac:dyDescent="0.25">
      <c r="A21" s="170"/>
      <c r="B21" s="167" t="s">
        <v>103</v>
      </c>
      <c r="C21" s="190"/>
      <c r="D21" s="248"/>
      <c r="E21" s="191">
        <f t="shared" si="3"/>
        <v>0</v>
      </c>
      <c r="F21" s="217">
        <f t="shared" ref="F21:F30" si="5">+D21*$C$11</f>
        <v>0</v>
      </c>
      <c r="G21" s="193">
        <v>0</v>
      </c>
      <c r="H21" s="192"/>
      <c r="I21" s="194">
        <f t="shared" si="4"/>
        <v>0</v>
      </c>
      <c r="J21" s="220">
        <f t="shared" si="2"/>
        <v>0</v>
      </c>
    </row>
    <row r="22" spans="1:10" s="167" customFormat="1" ht="12" customHeight="1" x14ac:dyDescent="0.25">
      <c r="A22" s="170"/>
      <c r="B22" s="167" t="s">
        <v>104</v>
      </c>
      <c r="C22" s="190"/>
      <c r="D22" s="248"/>
      <c r="E22" s="191">
        <f t="shared" si="3"/>
        <v>0</v>
      </c>
      <c r="F22" s="217">
        <f t="shared" si="5"/>
        <v>0</v>
      </c>
      <c r="G22" s="193">
        <v>0</v>
      </c>
      <c r="H22" s="192"/>
      <c r="I22" s="194">
        <f t="shared" si="4"/>
        <v>0</v>
      </c>
      <c r="J22" s="220">
        <f t="shared" si="2"/>
        <v>0</v>
      </c>
    </row>
    <row r="23" spans="1:10" s="167" customFormat="1" ht="15.75" hidden="1" outlineLevel="1" x14ac:dyDescent="0.25">
      <c r="A23" s="170"/>
      <c r="B23" s="167" t="s">
        <v>105</v>
      </c>
      <c r="C23" s="190"/>
      <c r="D23" s="213"/>
      <c r="E23" s="191">
        <f t="shared" si="3"/>
        <v>0</v>
      </c>
      <c r="F23" s="217">
        <f t="shared" si="5"/>
        <v>0</v>
      </c>
      <c r="G23" s="193">
        <v>0</v>
      </c>
      <c r="H23" s="192"/>
      <c r="I23" s="194">
        <f t="shared" si="4"/>
        <v>0</v>
      </c>
      <c r="J23" s="220">
        <f t="shared" si="2"/>
        <v>0</v>
      </c>
    </row>
    <row r="24" spans="1:10" s="167" customFormat="1" ht="15.75" hidden="1" outlineLevel="1" x14ac:dyDescent="0.25">
      <c r="A24" s="170"/>
      <c r="B24" s="167" t="s">
        <v>106</v>
      </c>
      <c r="C24" s="190"/>
      <c r="D24" s="213"/>
      <c r="E24" s="191">
        <f t="shared" si="3"/>
        <v>0</v>
      </c>
      <c r="F24" s="217">
        <f t="shared" si="5"/>
        <v>0</v>
      </c>
      <c r="G24" s="193">
        <v>0</v>
      </c>
      <c r="H24" s="192"/>
      <c r="I24" s="194">
        <f t="shared" si="4"/>
        <v>0</v>
      </c>
      <c r="J24" s="220">
        <f t="shared" si="2"/>
        <v>0</v>
      </c>
    </row>
    <row r="25" spans="1:10" s="167" customFormat="1" ht="15.75" hidden="1" outlineLevel="1" x14ac:dyDescent="0.25">
      <c r="A25" s="170"/>
      <c r="B25" s="167" t="s">
        <v>107</v>
      </c>
      <c r="C25" s="190"/>
      <c r="D25" s="213"/>
      <c r="E25" s="191">
        <f t="shared" si="3"/>
        <v>0</v>
      </c>
      <c r="F25" s="217">
        <f t="shared" si="5"/>
        <v>0</v>
      </c>
      <c r="G25" s="193">
        <v>0</v>
      </c>
      <c r="H25" s="192"/>
      <c r="I25" s="194">
        <f t="shared" si="4"/>
        <v>0</v>
      </c>
      <c r="J25" s="220">
        <f t="shared" si="2"/>
        <v>0</v>
      </c>
    </row>
    <row r="26" spans="1:10" s="167" customFormat="1" ht="15.75" hidden="1" outlineLevel="1" x14ac:dyDescent="0.25">
      <c r="A26" s="170"/>
      <c r="B26" s="167" t="s">
        <v>108</v>
      </c>
      <c r="C26" s="190"/>
      <c r="D26" s="213"/>
      <c r="E26" s="191">
        <f t="shared" si="3"/>
        <v>0</v>
      </c>
      <c r="F26" s="217">
        <f t="shared" si="5"/>
        <v>0</v>
      </c>
      <c r="G26" s="193">
        <v>0</v>
      </c>
      <c r="H26" s="192"/>
      <c r="I26" s="194">
        <f t="shared" si="4"/>
        <v>0</v>
      </c>
      <c r="J26" s="220">
        <f t="shared" si="2"/>
        <v>0</v>
      </c>
    </row>
    <row r="27" spans="1:10" s="167" customFormat="1" ht="15.75" hidden="1" outlineLevel="1" x14ac:dyDescent="0.25">
      <c r="A27" s="170"/>
      <c r="B27" s="167" t="s">
        <v>109</v>
      </c>
      <c r="C27" s="190"/>
      <c r="D27" s="213"/>
      <c r="E27" s="191">
        <f t="shared" si="3"/>
        <v>0</v>
      </c>
      <c r="F27" s="217">
        <f t="shared" si="5"/>
        <v>0</v>
      </c>
      <c r="G27" s="193">
        <v>0</v>
      </c>
      <c r="H27" s="192"/>
      <c r="I27" s="194">
        <f t="shared" si="4"/>
        <v>0</v>
      </c>
      <c r="J27" s="220">
        <f t="shared" si="2"/>
        <v>0</v>
      </c>
    </row>
    <row r="28" spans="1:10" s="167" customFormat="1" ht="15.75" hidden="1" outlineLevel="1" x14ac:dyDescent="0.25">
      <c r="A28" s="170"/>
      <c r="B28" s="167" t="s">
        <v>110</v>
      </c>
      <c r="C28" s="190"/>
      <c r="D28" s="213"/>
      <c r="E28" s="191">
        <f t="shared" si="3"/>
        <v>0</v>
      </c>
      <c r="F28" s="217">
        <f t="shared" si="5"/>
        <v>0</v>
      </c>
      <c r="G28" s="193">
        <v>0</v>
      </c>
      <c r="H28" s="192"/>
      <c r="I28" s="194">
        <f t="shared" si="4"/>
        <v>0</v>
      </c>
      <c r="J28" s="220">
        <f t="shared" si="2"/>
        <v>0</v>
      </c>
    </row>
    <row r="29" spans="1:10" s="167" customFormat="1" ht="15.75" hidden="1" outlineLevel="1" x14ac:dyDescent="0.25">
      <c r="A29" s="170"/>
      <c r="B29" s="167" t="s">
        <v>111</v>
      </c>
      <c r="C29" s="190"/>
      <c r="D29" s="213"/>
      <c r="E29" s="191">
        <f t="shared" si="3"/>
        <v>0</v>
      </c>
      <c r="F29" s="217">
        <f t="shared" si="5"/>
        <v>0</v>
      </c>
      <c r="G29" s="193">
        <v>1200</v>
      </c>
      <c r="H29" s="192"/>
      <c r="I29" s="194">
        <f t="shared" si="4"/>
        <v>1200</v>
      </c>
      <c r="J29" s="220">
        <f t="shared" si="2"/>
        <v>100</v>
      </c>
    </row>
    <row r="30" spans="1:10" s="167" customFormat="1" ht="15.75" hidden="1" outlineLevel="1" x14ac:dyDescent="0.25">
      <c r="A30" s="170"/>
      <c r="B30" s="167" t="s">
        <v>112</v>
      </c>
      <c r="C30" s="190"/>
      <c r="D30" s="192"/>
      <c r="E30" s="176">
        <f t="shared" si="3"/>
        <v>0</v>
      </c>
      <c r="F30" s="217">
        <f t="shared" si="5"/>
        <v>0</v>
      </c>
      <c r="G30" s="193">
        <v>1320</v>
      </c>
      <c r="H30" s="192"/>
      <c r="I30" s="194">
        <f t="shared" si="4"/>
        <v>1320</v>
      </c>
      <c r="J30" s="219">
        <f t="shared" si="2"/>
        <v>110</v>
      </c>
    </row>
    <row r="31" spans="1:10" s="167" customFormat="1" ht="15.75" collapsed="1" x14ac:dyDescent="0.25">
      <c r="A31" s="170"/>
      <c r="C31" s="215">
        <f>SUM(C15:C30)</f>
        <v>0.99999999999999989</v>
      </c>
      <c r="D31" s="214" t="str">
        <f>IF(SUM(D15:D30)&lt;&gt;0,"Error, Percentages must total zero.","")</f>
        <v/>
      </c>
      <c r="E31" s="216">
        <f>SUM(E15:E30)</f>
        <v>0.99999999999999989</v>
      </c>
      <c r="F31" s="166"/>
      <c r="G31" s="286"/>
      <c r="H31" s="286"/>
      <c r="I31" s="286"/>
    </row>
    <row r="32" spans="1:10" ht="18" customHeight="1" x14ac:dyDescent="0.2">
      <c r="B32" s="12"/>
      <c r="C32" s="52"/>
      <c r="D32" s="57"/>
      <c r="E32" s="52"/>
    </row>
    <row r="33" spans="1:12" ht="16.5" customHeight="1" x14ac:dyDescent="0.3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 x14ac:dyDescent="0.25">
      <c r="A34" s="56" t="s">
        <v>94</v>
      </c>
      <c r="B34" s="56"/>
      <c r="C34" s="159">
        <v>505300</v>
      </c>
      <c r="D34" s="160">
        <f>+E34-C34</f>
        <v>0</v>
      </c>
      <c r="E34" s="161">
        <f>+E11*L34</f>
        <v>505300</v>
      </c>
      <c r="F34" s="162">
        <f>+E34-C34</f>
        <v>0</v>
      </c>
      <c r="H34" s="109"/>
      <c r="I34" s="110" t="s">
        <v>33</v>
      </c>
      <c r="J34" s="109"/>
      <c r="K34" s="109"/>
      <c r="L34" s="113">
        <f>+Retail!L34</f>
        <v>505.3</v>
      </c>
    </row>
    <row r="35" spans="1:12" ht="15" x14ac:dyDescent="0.25">
      <c r="A35" s="56" t="s">
        <v>95</v>
      </c>
      <c r="B35" s="56"/>
      <c r="C35" s="159">
        <f>+C34</f>
        <v>505300</v>
      </c>
      <c r="D35" s="160">
        <f>+E35-C35</f>
        <v>-33599.999999999942</v>
      </c>
      <c r="E35" s="161">
        <f>+E$11*L35</f>
        <v>471700.00000000006</v>
      </c>
      <c r="F35" s="162">
        <f>+E35-E34</f>
        <v>-33599.999999999942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471.70000000000005</v>
      </c>
    </row>
    <row r="36" spans="1:12" ht="15" x14ac:dyDescent="0.25">
      <c r="A36" s="56" t="s">
        <v>96</v>
      </c>
      <c r="B36" s="56"/>
      <c r="C36" s="159">
        <f>+C35</f>
        <v>505300</v>
      </c>
      <c r="D36" s="160">
        <f>+E36-C36</f>
        <v>0</v>
      </c>
      <c r="E36" s="161">
        <f>+E$11*L36</f>
        <v>505300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505.3</v>
      </c>
    </row>
    <row r="37" spans="1:12" ht="9" customHeight="1" x14ac:dyDescent="0.25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 x14ac:dyDescent="0.25">
      <c r="A38" s="56" t="s">
        <v>97</v>
      </c>
      <c r="B38" s="55"/>
      <c r="C38" s="159">
        <f>+C35</f>
        <v>505300</v>
      </c>
      <c r="D38" s="160">
        <f>+E38-C38</f>
        <v>-33599.999999999942</v>
      </c>
      <c r="E38" s="161">
        <f>+L38*E11</f>
        <v>471700.00000000006</v>
      </c>
      <c r="F38" s="162">
        <f>+E38-C34</f>
        <v>-33599.999999999942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471.70000000000005</v>
      </c>
    </row>
    <row r="39" spans="1:12" ht="20.25" hidden="1" x14ac:dyDescent="0.3">
      <c r="A39" s="51" t="s">
        <v>49</v>
      </c>
      <c r="C39" s="60"/>
      <c r="D39"/>
      <c r="E39" s="58"/>
      <c r="I39" s="110"/>
      <c r="J39" s="109"/>
      <c r="K39" s="109"/>
    </row>
    <row r="40" spans="1:12" hidden="1" x14ac:dyDescent="0.2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12" hidden="1" x14ac:dyDescent="0.2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12" ht="13.5" hidden="1" customHeight="1" x14ac:dyDescent="0.2">
      <c r="A42" s="59"/>
      <c r="B42" s="65"/>
      <c r="C42" s="61"/>
      <c r="D42" s="61"/>
      <c r="E42" s="29"/>
      <c r="F42" s="64"/>
      <c r="G42" s="65"/>
      <c r="H42" s="65"/>
    </row>
    <row r="43" spans="1:12" ht="13.5" hidden="1" customHeight="1" x14ac:dyDescent="0.2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12" hidden="1" x14ac:dyDescent="0.2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1:12" hidden="1" x14ac:dyDescent="0.2">
      <c r="C45" s="60"/>
      <c r="D45" s="62"/>
      <c r="E45" s="71"/>
      <c r="G45" s="65"/>
      <c r="H45" s="65"/>
    </row>
    <row r="46" spans="1:12" x14ac:dyDescent="0.2">
      <c r="C46" s="60"/>
      <c r="D46" s="62"/>
      <c r="E46" s="58"/>
      <c r="G46" s="65"/>
      <c r="H46" s="65"/>
    </row>
    <row r="47" spans="1:12" ht="20.25" hidden="1" customHeight="1" thickBot="1" x14ac:dyDescent="0.3">
      <c r="A47" s="287" t="s">
        <v>52</v>
      </c>
      <c r="B47" s="287"/>
      <c r="C47" s="287"/>
      <c r="D47" s="287"/>
      <c r="E47" s="287"/>
      <c r="F47" s="287"/>
      <c r="G47" s="65"/>
      <c r="H47" s="65"/>
    </row>
    <row r="48" spans="1:12" s="6" customFormat="1" ht="18" hidden="1" x14ac:dyDescent="0.25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hidden="1" customHeight="1" x14ac:dyDescent="0.2">
      <c r="A49" s="3"/>
      <c r="B49" t="s">
        <v>26</v>
      </c>
      <c r="C49" s="68">
        <f>+C34</f>
        <v>505300</v>
      </c>
      <c r="D49" s="69">
        <f>+D34</f>
        <v>0</v>
      </c>
      <c r="E49" s="68">
        <f>+E34</f>
        <v>505300</v>
      </c>
      <c r="F49" s="79">
        <f>+E49/E50</f>
        <v>1</v>
      </c>
      <c r="G49" s="65"/>
      <c r="H49" s="65"/>
      <c r="I49" s="144"/>
    </row>
    <row r="50" spans="1:9" ht="18.75" hidden="1" customHeight="1" x14ac:dyDescent="0.2">
      <c r="B50" s="14" t="s">
        <v>14</v>
      </c>
      <c r="C50" s="151">
        <f>ROUND(SUM(C49:C49),0)</f>
        <v>505300</v>
      </c>
      <c r="D50" s="151">
        <f>E50-C50</f>
        <v>0</v>
      </c>
      <c r="E50" s="151">
        <f>ROUND(SUM(E49:E49),0)</f>
        <v>505300</v>
      </c>
      <c r="F50" s="79"/>
      <c r="G50" s="65"/>
      <c r="H50" s="65"/>
    </row>
    <row r="51" spans="1:9" hidden="1" x14ac:dyDescent="0.2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1:9" hidden="1" x14ac:dyDescent="0.2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9" hidden="1" x14ac:dyDescent="0.2">
      <c r="A53" s="9" t="s">
        <v>12</v>
      </c>
      <c r="C53" s="25"/>
      <c r="D53" s="25"/>
      <c r="E53" s="29"/>
      <c r="F53" s="79"/>
      <c r="G53" s="65"/>
      <c r="H53" s="65"/>
    </row>
    <row r="54" spans="1:9" s="9" customFormat="1" ht="18" hidden="1" customHeight="1" x14ac:dyDescent="0.2">
      <c r="B54" t="s">
        <v>22</v>
      </c>
      <c r="C54" s="68">
        <f>ROUND(+C43*C50,0)</f>
        <v>85901</v>
      </c>
      <c r="D54" s="69">
        <f>E54-C54</f>
        <v>0</v>
      </c>
      <c r="E54" s="70">
        <f>ROUND(+E43*E50,0)</f>
        <v>85901</v>
      </c>
      <c r="F54" s="79">
        <f>+E54/E50</f>
        <v>0.17</v>
      </c>
      <c r="G54" s="59"/>
      <c r="H54" s="59"/>
    </row>
    <row r="55" spans="1:9" hidden="1" x14ac:dyDescent="0.2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0.19790223629527012</v>
      </c>
      <c r="G55" s="65"/>
      <c r="H55" s="65"/>
    </row>
    <row r="56" spans="1:9" hidden="1" x14ac:dyDescent="0.2">
      <c r="A56" s="9" t="s">
        <v>4</v>
      </c>
      <c r="B56" s="15" t="s">
        <v>17</v>
      </c>
      <c r="C56" s="30">
        <f>SUM(C54:C55)</f>
        <v>185901</v>
      </c>
      <c r="D56" s="30">
        <f>SUM(D54:D55)</f>
        <v>0</v>
      </c>
      <c r="E56" s="31">
        <f>SUM(E54:E55)</f>
        <v>185901</v>
      </c>
      <c r="F56" s="79"/>
      <c r="G56" s="65"/>
      <c r="H56" s="65"/>
    </row>
    <row r="57" spans="1:9" ht="18.75" hidden="1" thickBot="1" x14ac:dyDescent="0.3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9" ht="18" x14ac:dyDescent="0.25">
      <c r="A58" s="5"/>
      <c r="B58" s="5"/>
      <c r="C58" s="75"/>
      <c r="D58" s="76"/>
      <c r="E58" s="77"/>
      <c r="F58" s="63"/>
    </row>
  </sheetData>
  <mergeCells count="3">
    <mergeCell ref="A2:E2"/>
    <mergeCell ref="G31:I31"/>
    <mergeCell ref="A47:F47"/>
  </mergeCells>
  <conditionalFormatting sqref="D34:D38">
    <cfRule type="aboveAverage" dxfId="2" priority="1"/>
  </conditionalFormatting>
  <printOptions horizontalCentered="1"/>
  <pageMargins left="0.75" right="0.25" top="0.28000000000000003" bottom="0.37" header="0.44" footer="0.17"/>
  <pageSetup scale="59" orientation="landscape" cellComments="asDisplayed" r:id="rId1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2958-20FD-4930-A72B-832943024EA2}">
  <sheetPr>
    <tabColor rgb="FF00B050"/>
    <pageSetUpPr fitToPage="1"/>
  </sheetPr>
  <dimension ref="A1:L58"/>
  <sheetViews>
    <sheetView topLeftCell="A33" zoomScale="110" zoomScaleNormal="110" workbookViewId="0">
      <pane ySplit="2175" topLeftCell="A2" activePane="bottomLeft"/>
      <selection activeCell="B65" sqref="B65"/>
      <selection pane="bottomLeft" activeCell="B65" sqref="B65"/>
    </sheetView>
  </sheetViews>
  <sheetFormatPr defaultRowHeight="12.75" outlineLevelRow="1" x14ac:dyDescent="0.2"/>
  <cols>
    <col min="1" max="1" width="3.28515625" style="9" customWidth="1"/>
    <col min="2" max="2" width="50.42578125" customWidth="1"/>
    <col min="3" max="3" width="17" bestFit="1" customWidth="1"/>
    <col min="4" max="4" width="20.140625" style="2" customWidth="1"/>
    <col min="5" max="5" width="17.28515625" style="9" bestFit="1" customWidth="1"/>
    <col min="6" max="6" width="12.5703125" style="35" bestFit="1" customWidth="1"/>
    <col min="7" max="7" width="11.5703125" bestFit="1" customWidth="1"/>
    <col min="8" max="8" width="18" bestFit="1" customWidth="1"/>
    <col min="9" max="9" width="15.7109375" customWidth="1"/>
    <col min="10" max="10" width="14.42578125" bestFit="1" customWidth="1"/>
    <col min="12" max="12" width="16" bestFit="1" customWidth="1"/>
    <col min="13" max="13" width="14.28515625" bestFit="1" customWidth="1"/>
  </cols>
  <sheetData>
    <row r="1" spans="1:12" ht="6" customHeight="1" x14ac:dyDescent="0.2"/>
    <row r="2" spans="1:12" s="8" customFormat="1" ht="26.25" x14ac:dyDescent="0.4">
      <c r="A2" s="285" t="s">
        <v>116</v>
      </c>
      <c r="B2" s="285"/>
      <c r="C2" s="285"/>
      <c r="D2" s="285"/>
      <c r="E2" s="285"/>
      <c r="F2" s="37"/>
      <c r="H2"/>
      <c r="I2" s="1" t="s">
        <v>80</v>
      </c>
      <c r="J2" s="1" t="s">
        <v>81</v>
      </c>
    </row>
    <row r="3" spans="1:12" ht="15.75" x14ac:dyDescent="0.25">
      <c r="A3" s="170" t="s">
        <v>26</v>
      </c>
      <c r="C3" s="3"/>
      <c r="E3" s="1"/>
      <c r="H3" s="8" t="s">
        <v>78</v>
      </c>
      <c r="I3" s="237">
        <f>+C6*C7</f>
        <v>5720</v>
      </c>
      <c r="J3" s="235"/>
    </row>
    <row r="4" spans="1:12" ht="15" x14ac:dyDescent="0.2">
      <c r="C4" s="7"/>
      <c r="D4" s="224" t="s">
        <v>0</v>
      </c>
      <c r="E4" s="7"/>
      <c r="H4" t="s">
        <v>79</v>
      </c>
      <c r="I4" s="237">
        <f>+C8*C6</f>
        <v>2600</v>
      </c>
      <c r="J4" s="235"/>
    </row>
    <row r="5" spans="1:12" ht="20.25" x14ac:dyDescent="0.3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 t="e">
        <f>+J5/J4</f>
        <v>#DIV/0!</v>
      </c>
      <c r="L5" s="223" t="s">
        <v>99</v>
      </c>
    </row>
    <row r="6" spans="1:12" s="167" customFormat="1" ht="15" x14ac:dyDescent="0.2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12" s="167" customFormat="1" ht="15" x14ac:dyDescent="0.2">
      <c r="A7" s="163" t="s">
        <v>77</v>
      </c>
      <c r="B7" s="163"/>
      <c r="C7" s="184">
        <f>+Retail!C7</f>
        <v>22</v>
      </c>
      <c r="D7" s="180"/>
      <c r="E7" s="188">
        <f t="shared" ref="E7:E8" si="0">+C7+D7</f>
        <v>22</v>
      </c>
      <c r="F7" s="209"/>
      <c r="H7" s="167" t="s">
        <v>136</v>
      </c>
    </row>
    <row r="8" spans="1:12" s="167" customFormat="1" ht="15" x14ac:dyDescent="0.2">
      <c r="A8" s="163" t="s">
        <v>30</v>
      </c>
      <c r="B8" s="163"/>
      <c r="C8" s="186">
        <v>10</v>
      </c>
      <c r="D8" s="241">
        <v>3</v>
      </c>
      <c r="E8" s="245">
        <f t="shared" si="0"/>
        <v>13</v>
      </c>
      <c r="F8" s="209"/>
    </row>
    <row r="9" spans="1:12" s="167" customFormat="1" ht="15.75" x14ac:dyDescent="0.25">
      <c r="A9" s="163" t="s">
        <v>32</v>
      </c>
      <c r="B9" s="163"/>
      <c r="C9" s="189">
        <f>+C8/C7</f>
        <v>0.45454545454545453</v>
      </c>
      <c r="D9" s="168"/>
      <c r="E9" s="169">
        <f>+E8/E7</f>
        <v>0.59090909090909094</v>
      </c>
      <c r="F9" s="166"/>
      <c r="H9" s="170" t="s">
        <v>46</v>
      </c>
      <c r="I9" s="170" t="s">
        <v>47</v>
      </c>
      <c r="J9" s="170" t="s">
        <v>48</v>
      </c>
    </row>
    <row r="10" spans="1:12" s="167" customFormat="1" ht="15" x14ac:dyDescent="0.2">
      <c r="A10" s="163" t="s">
        <v>35</v>
      </c>
      <c r="B10" s="163"/>
      <c r="C10" s="185">
        <f>+H11/12</f>
        <v>0.38461666666666666</v>
      </c>
      <c r="D10" s="212"/>
      <c r="E10" s="187">
        <f>+C10+D10</f>
        <v>0.38461666666666666</v>
      </c>
      <c r="F10" s="166"/>
      <c r="G10" s="171"/>
      <c r="H10" s="234">
        <f>+H11</f>
        <v>4.6154000000000002</v>
      </c>
      <c r="I10" s="211">
        <f>ROUND(+H10/12,6)</f>
        <v>0.38461699999999999</v>
      </c>
      <c r="J10" s="211">
        <f>ROUND(+I10-C10,7)</f>
        <v>2.9999999999999999E-7</v>
      </c>
    </row>
    <row r="11" spans="1:12" s="167" customFormat="1" ht="24" customHeight="1" thickBot="1" x14ac:dyDescent="0.25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1300</v>
      </c>
      <c r="F11" s="166"/>
      <c r="H11" s="218">
        <v>4.6154000000000002</v>
      </c>
      <c r="I11" s="167" t="s">
        <v>1</v>
      </c>
    </row>
    <row r="12" spans="1:12" s="167" customFormat="1" ht="3" customHeight="1" thickTop="1" x14ac:dyDescent="0.25">
      <c r="A12" s="170"/>
      <c r="C12" s="173"/>
      <c r="D12" s="174"/>
      <c r="E12" s="173"/>
      <c r="F12" s="166"/>
    </row>
    <row r="13" spans="1:12" s="167" customFormat="1" ht="18" x14ac:dyDescent="0.25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2" s="167" customFormat="1" ht="15.75" x14ac:dyDescent="0.2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2" s="167" customFormat="1" ht="15.75" x14ac:dyDescent="0.25">
      <c r="A15" s="170"/>
      <c r="B15" s="167" t="s">
        <v>117</v>
      </c>
      <c r="C15" s="284">
        <f>+Retail!C15</f>
        <v>0.41</v>
      </c>
      <c r="D15" s="246"/>
      <c r="E15" s="284">
        <f>+D15+C15</f>
        <v>0.41</v>
      </c>
      <c r="F15" s="217">
        <f t="shared" ref="F15:F19" si="1">+D15*$C$11</f>
        <v>0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2" s="167" customFormat="1" ht="15.75" x14ac:dyDescent="0.25">
      <c r="A16" s="170"/>
      <c r="B16" s="167" t="s">
        <v>118</v>
      </c>
      <c r="C16" s="284">
        <f>+Retail!C16</f>
        <v>0.49</v>
      </c>
      <c r="D16" s="247"/>
      <c r="E16" s="284">
        <f>+D16+C16</f>
        <v>0.49</v>
      </c>
      <c r="F16" s="217">
        <f t="shared" si="1"/>
        <v>0</v>
      </c>
      <c r="G16" s="193">
        <v>720</v>
      </c>
      <c r="H16" s="192"/>
      <c r="I16" s="194">
        <f>+H16+G16</f>
        <v>720</v>
      </c>
      <c r="J16" s="220">
        <f t="shared" ref="J16:J30" si="2">+I16/12</f>
        <v>60</v>
      </c>
    </row>
    <row r="17" spans="1:10" s="167" customFormat="1" ht="15.75" x14ac:dyDescent="0.25">
      <c r="A17" s="170"/>
      <c r="B17" s="167" t="str">
        <f>+Retail!B17</f>
        <v>Cab Franc</v>
      </c>
      <c r="C17" s="284">
        <f>+Retail!C17</f>
        <v>0.1</v>
      </c>
      <c r="D17" s="268"/>
      <c r="E17" s="284">
        <f t="shared" ref="E17:E30" si="3">+D17+C17</f>
        <v>0.1</v>
      </c>
      <c r="F17" s="217">
        <f t="shared" si="1"/>
        <v>0</v>
      </c>
      <c r="G17" s="193">
        <f>+Retail!G17</f>
        <v>540</v>
      </c>
      <c r="H17" s="192"/>
      <c r="I17" s="194">
        <f t="shared" ref="I17:I30" si="4">+H17+G17</f>
        <v>540</v>
      </c>
      <c r="J17" s="220">
        <f t="shared" si="2"/>
        <v>45</v>
      </c>
    </row>
    <row r="18" spans="1:10" s="167" customFormat="1" ht="15.75" x14ac:dyDescent="0.25">
      <c r="A18" s="170"/>
      <c r="B18" s="167" t="s">
        <v>100</v>
      </c>
      <c r="C18" s="190"/>
      <c r="D18" s="248"/>
      <c r="E18" s="191">
        <f t="shared" si="3"/>
        <v>0</v>
      </c>
      <c r="F18" s="217">
        <f t="shared" si="1"/>
        <v>0</v>
      </c>
      <c r="G18" s="193">
        <v>180</v>
      </c>
      <c r="H18" s="192"/>
      <c r="I18" s="194">
        <f t="shared" si="4"/>
        <v>180</v>
      </c>
      <c r="J18" s="220">
        <f t="shared" si="2"/>
        <v>15</v>
      </c>
    </row>
    <row r="19" spans="1:10" s="167" customFormat="1" ht="15.75" x14ac:dyDescent="0.25">
      <c r="A19" s="170"/>
      <c r="B19" s="167" t="s">
        <v>101</v>
      </c>
      <c r="C19" s="190"/>
      <c r="D19" s="248"/>
      <c r="E19" s="191">
        <f t="shared" si="3"/>
        <v>0</v>
      </c>
      <c r="F19" s="217">
        <f t="shared" si="1"/>
        <v>0</v>
      </c>
      <c r="G19" s="193">
        <v>0</v>
      </c>
      <c r="H19" s="192"/>
      <c r="I19" s="194">
        <f t="shared" si="4"/>
        <v>0</v>
      </c>
      <c r="J19" s="220">
        <f t="shared" si="2"/>
        <v>0</v>
      </c>
    </row>
    <row r="20" spans="1:10" s="167" customFormat="1" ht="15.75" x14ac:dyDescent="0.25">
      <c r="A20" s="170"/>
      <c r="B20" s="167" t="s">
        <v>102</v>
      </c>
      <c r="C20" s="190"/>
      <c r="D20" s="248"/>
      <c r="E20" s="191">
        <f t="shared" si="3"/>
        <v>0</v>
      </c>
      <c r="F20" s="217">
        <f>+D20*$C$11</f>
        <v>0</v>
      </c>
      <c r="G20" s="193">
        <v>0</v>
      </c>
      <c r="H20" s="192"/>
      <c r="I20" s="194">
        <f t="shared" si="4"/>
        <v>0</v>
      </c>
      <c r="J20" s="220">
        <f t="shared" si="2"/>
        <v>0</v>
      </c>
    </row>
    <row r="21" spans="1:10" s="167" customFormat="1" ht="15.75" x14ac:dyDescent="0.25">
      <c r="A21" s="170"/>
      <c r="B21" s="167" t="s">
        <v>103</v>
      </c>
      <c r="C21" s="190"/>
      <c r="D21" s="248"/>
      <c r="E21" s="191">
        <f t="shared" si="3"/>
        <v>0</v>
      </c>
      <c r="F21" s="217">
        <f t="shared" ref="F21:F30" si="5">+D21*$C$11</f>
        <v>0</v>
      </c>
      <c r="G21" s="193">
        <v>0</v>
      </c>
      <c r="H21" s="192"/>
      <c r="I21" s="194">
        <f t="shared" si="4"/>
        <v>0</v>
      </c>
      <c r="J21" s="220">
        <f t="shared" si="2"/>
        <v>0</v>
      </c>
    </row>
    <row r="22" spans="1:10" s="167" customFormat="1" ht="12" customHeight="1" x14ac:dyDescent="0.25">
      <c r="A22" s="170"/>
      <c r="B22" s="167" t="s">
        <v>104</v>
      </c>
      <c r="C22" s="190"/>
      <c r="D22" s="248"/>
      <c r="E22" s="191">
        <f t="shared" si="3"/>
        <v>0</v>
      </c>
      <c r="F22" s="217">
        <f t="shared" si="5"/>
        <v>0</v>
      </c>
      <c r="G22" s="193">
        <v>0</v>
      </c>
      <c r="H22" s="192"/>
      <c r="I22" s="194">
        <f t="shared" si="4"/>
        <v>0</v>
      </c>
      <c r="J22" s="220">
        <f t="shared" si="2"/>
        <v>0</v>
      </c>
    </row>
    <row r="23" spans="1:10" s="167" customFormat="1" ht="15.75" hidden="1" outlineLevel="1" x14ac:dyDescent="0.25">
      <c r="A23" s="170"/>
      <c r="B23" s="167" t="s">
        <v>105</v>
      </c>
      <c r="C23" s="190"/>
      <c r="D23" s="213"/>
      <c r="E23" s="191">
        <f t="shared" si="3"/>
        <v>0</v>
      </c>
      <c r="F23" s="217">
        <f t="shared" si="5"/>
        <v>0</v>
      </c>
      <c r="G23" s="193">
        <v>0</v>
      </c>
      <c r="H23" s="192"/>
      <c r="I23" s="194">
        <f t="shared" si="4"/>
        <v>0</v>
      </c>
      <c r="J23" s="220">
        <f t="shared" si="2"/>
        <v>0</v>
      </c>
    </row>
    <row r="24" spans="1:10" s="167" customFormat="1" ht="15.75" hidden="1" outlineLevel="1" x14ac:dyDescent="0.25">
      <c r="A24" s="170"/>
      <c r="B24" s="167" t="s">
        <v>106</v>
      </c>
      <c r="C24" s="190"/>
      <c r="D24" s="213"/>
      <c r="E24" s="191">
        <f t="shared" si="3"/>
        <v>0</v>
      </c>
      <c r="F24" s="217">
        <f t="shared" si="5"/>
        <v>0</v>
      </c>
      <c r="G24" s="193">
        <v>0</v>
      </c>
      <c r="H24" s="192"/>
      <c r="I24" s="194">
        <f t="shared" si="4"/>
        <v>0</v>
      </c>
      <c r="J24" s="220">
        <f t="shared" si="2"/>
        <v>0</v>
      </c>
    </row>
    <row r="25" spans="1:10" s="167" customFormat="1" ht="15.75" hidden="1" outlineLevel="1" x14ac:dyDescent="0.25">
      <c r="A25" s="170"/>
      <c r="B25" s="167" t="s">
        <v>107</v>
      </c>
      <c r="C25" s="190"/>
      <c r="D25" s="213"/>
      <c r="E25" s="191">
        <f t="shared" si="3"/>
        <v>0</v>
      </c>
      <c r="F25" s="217">
        <f t="shared" si="5"/>
        <v>0</v>
      </c>
      <c r="G25" s="193">
        <v>0</v>
      </c>
      <c r="H25" s="192"/>
      <c r="I25" s="194">
        <f t="shared" si="4"/>
        <v>0</v>
      </c>
      <c r="J25" s="220">
        <f t="shared" si="2"/>
        <v>0</v>
      </c>
    </row>
    <row r="26" spans="1:10" s="167" customFormat="1" ht="15.75" hidden="1" outlineLevel="1" x14ac:dyDescent="0.25">
      <c r="A26" s="170"/>
      <c r="B26" s="167" t="s">
        <v>108</v>
      </c>
      <c r="C26" s="190"/>
      <c r="D26" s="213"/>
      <c r="E26" s="191">
        <f t="shared" si="3"/>
        <v>0</v>
      </c>
      <c r="F26" s="217">
        <f t="shared" si="5"/>
        <v>0</v>
      </c>
      <c r="G26" s="193">
        <v>0</v>
      </c>
      <c r="H26" s="192"/>
      <c r="I26" s="194">
        <f t="shared" si="4"/>
        <v>0</v>
      </c>
      <c r="J26" s="220">
        <f t="shared" si="2"/>
        <v>0</v>
      </c>
    </row>
    <row r="27" spans="1:10" s="167" customFormat="1" ht="15.75" hidden="1" outlineLevel="1" x14ac:dyDescent="0.25">
      <c r="A27" s="170"/>
      <c r="B27" s="167" t="s">
        <v>109</v>
      </c>
      <c r="C27" s="190"/>
      <c r="D27" s="213"/>
      <c r="E27" s="191">
        <f t="shared" si="3"/>
        <v>0</v>
      </c>
      <c r="F27" s="217">
        <f t="shared" si="5"/>
        <v>0</v>
      </c>
      <c r="G27" s="193">
        <v>0</v>
      </c>
      <c r="H27" s="192"/>
      <c r="I27" s="194">
        <f t="shared" si="4"/>
        <v>0</v>
      </c>
      <c r="J27" s="220">
        <f t="shared" si="2"/>
        <v>0</v>
      </c>
    </row>
    <row r="28" spans="1:10" s="167" customFormat="1" ht="15.75" hidden="1" outlineLevel="1" x14ac:dyDescent="0.25">
      <c r="A28" s="170"/>
      <c r="B28" s="167" t="s">
        <v>110</v>
      </c>
      <c r="C28" s="190"/>
      <c r="D28" s="213"/>
      <c r="E28" s="191">
        <f t="shared" si="3"/>
        <v>0</v>
      </c>
      <c r="F28" s="217">
        <f t="shared" si="5"/>
        <v>0</v>
      </c>
      <c r="G28" s="193">
        <v>0</v>
      </c>
      <c r="H28" s="192"/>
      <c r="I28" s="194">
        <f t="shared" si="4"/>
        <v>0</v>
      </c>
      <c r="J28" s="220">
        <f t="shared" si="2"/>
        <v>0</v>
      </c>
    </row>
    <row r="29" spans="1:10" s="167" customFormat="1" ht="15.75" hidden="1" outlineLevel="1" x14ac:dyDescent="0.25">
      <c r="A29" s="170"/>
      <c r="B29" s="167" t="s">
        <v>111</v>
      </c>
      <c r="C29" s="190"/>
      <c r="D29" s="213"/>
      <c r="E29" s="191">
        <f t="shared" si="3"/>
        <v>0</v>
      </c>
      <c r="F29" s="217">
        <f t="shared" si="5"/>
        <v>0</v>
      </c>
      <c r="G29" s="193">
        <v>1200</v>
      </c>
      <c r="H29" s="192"/>
      <c r="I29" s="194">
        <f t="shared" si="4"/>
        <v>1200</v>
      </c>
      <c r="J29" s="220">
        <f t="shared" si="2"/>
        <v>100</v>
      </c>
    </row>
    <row r="30" spans="1:10" s="167" customFormat="1" ht="15.75" hidden="1" outlineLevel="1" x14ac:dyDescent="0.25">
      <c r="A30" s="170"/>
      <c r="B30" s="167" t="s">
        <v>112</v>
      </c>
      <c r="C30" s="190"/>
      <c r="D30" s="192"/>
      <c r="E30" s="176">
        <f t="shared" si="3"/>
        <v>0</v>
      </c>
      <c r="F30" s="217">
        <f t="shared" si="5"/>
        <v>0</v>
      </c>
      <c r="G30" s="193">
        <v>1320</v>
      </c>
      <c r="H30" s="192"/>
      <c r="I30" s="194">
        <f t="shared" si="4"/>
        <v>1320</v>
      </c>
      <c r="J30" s="219">
        <f t="shared" si="2"/>
        <v>110</v>
      </c>
    </row>
    <row r="31" spans="1:10" s="167" customFormat="1" ht="15.75" collapsed="1" x14ac:dyDescent="0.25">
      <c r="A31" s="170"/>
      <c r="C31" s="215">
        <f>SUM(C15:C30)</f>
        <v>0.99999999999999989</v>
      </c>
      <c r="D31" s="214" t="str">
        <f>IF(SUM(D15:D30)&lt;&gt;0,"Error, Percentages must total zero.","")</f>
        <v/>
      </c>
      <c r="E31" s="216">
        <f>SUM(E15:E30)</f>
        <v>0.99999999999999989</v>
      </c>
      <c r="F31" s="166"/>
      <c r="G31" s="286"/>
      <c r="H31" s="286"/>
      <c r="I31" s="286"/>
    </row>
    <row r="32" spans="1:10" ht="18" customHeight="1" x14ac:dyDescent="0.2">
      <c r="B32" s="12"/>
      <c r="C32" s="52"/>
      <c r="D32" s="57"/>
      <c r="E32" s="52"/>
    </row>
    <row r="33" spans="1:12" ht="16.5" customHeight="1" x14ac:dyDescent="0.3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 x14ac:dyDescent="0.25">
      <c r="A34" s="56" t="s">
        <v>94</v>
      </c>
      <c r="B34" s="56"/>
      <c r="C34" s="159">
        <v>505300</v>
      </c>
      <c r="D34" s="160">
        <f>+E34-C34</f>
        <v>151590</v>
      </c>
      <c r="E34" s="161">
        <f>+E11*L34</f>
        <v>656890</v>
      </c>
      <c r="F34" s="162">
        <f>+E34-C34</f>
        <v>151590</v>
      </c>
      <c r="H34" s="109"/>
      <c r="I34" s="110" t="s">
        <v>33</v>
      </c>
      <c r="J34" s="109"/>
      <c r="K34" s="109"/>
      <c r="L34" s="113">
        <f>+Retail!L34</f>
        <v>505.3</v>
      </c>
    </row>
    <row r="35" spans="1:12" ht="15" x14ac:dyDescent="0.25">
      <c r="A35" s="56" t="s">
        <v>95</v>
      </c>
      <c r="B35" s="56"/>
      <c r="C35" s="159">
        <f>+C34</f>
        <v>505300</v>
      </c>
      <c r="D35" s="160">
        <f>+E35-C35</f>
        <v>151590</v>
      </c>
      <c r="E35" s="161">
        <f>+E$11*L35</f>
        <v>656890</v>
      </c>
      <c r="F35" s="162">
        <f>+E35-E34</f>
        <v>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505.3</v>
      </c>
    </row>
    <row r="36" spans="1:12" ht="15" x14ac:dyDescent="0.25">
      <c r="A36" s="56" t="s">
        <v>96</v>
      </c>
      <c r="B36" s="56"/>
      <c r="C36" s="159">
        <f>+C35</f>
        <v>505300</v>
      </c>
      <c r="D36" s="160">
        <f>+E36-C36</f>
        <v>151590</v>
      </c>
      <c r="E36" s="161">
        <f>+E$11*L36</f>
        <v>656890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505.3</v>
      </c>
    </row>
    <row r="37" spans="1:12" ht="9" customHeight="1" x14ac:dyDescent="0.25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 x14ac:dyDescent="0.25">
      <c r="A38" s="56" t="s">
        <v>97</v>
      </c>
      <c r="B38" s="55"/>
      <c r="C38" s="159">
        <f>+C35</f>
        <v>505300</v>
      </c>
      <c r="D38" s="160">
        <f>+E38-C38</f>
        <v>151590</v>
      </c>
      <c r="E38" s="161">
        <f>+L38*E11</f>
        <v>656890</v>
      </c>
      <c r="F38" s="162">
        <f>+E38-C34</f>
        <v>151590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505.3</v>
      </c>
    </row>
    <row r="39" spans="1:12" ht="20.25" hidden="1" x14ac:dyDescent="0.3">
      <c r="A39" s="51" t="s">
        <v>49</v>
      </c>
      <c r="C39" s="60"/>
      <c r="D39"/>
      <c r="E39" s="58"/>
      <c r="I39" s="110"/>
      <c r="J39" s="109"/>
      <c r="K39" s="109"/>
    </row>
    <row r="40" spans="1:12" hidden="1" x14ac:dyDescent="0.2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12" hidden="1" x14ac:dyDescent="0.2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12" ht="13.5" hidden="1" customHeight="1" x14ac:dyDescent="0.2">
      <c r="A42" s="59"/>
      <c r="B42" s="65"/>
      <c r="C42" s="61"/>
      <c r="D42" s="61"/>
      <c r="E42" s="29"/>
      <c r="F42" s="64"/>
      <c r="G42" s="65"/>
      <c r="H42" s="65"/>
    </row>
    <row r="43" spans="1:12" ht="13.5" hidden="1" customHeight="1" x14ac:dyDescent="0.2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12" hidden="1" x14ac:dyDescent="0.2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1:12" hidden="1" x14ac:dyDescent="0.2">
      <c r="C45" s="60"/>
      <c r="D45" s="62"/>
      <c r="E45" s="71"/>
      <c r="G45" s="65"/>
      <c r="H45" s="65"/>
    </row>
    <row r="46" spans="1:12" x14ac:dyDescent="0.2">
      <c r="C46" s="60"/>
      <c r="D46" s="62"/>
      <c r="E46" s="58"/>
      <c r="G46" s="65"/>
      <c r="H46" s="65"/>
    </row>
    <row r="47" spans="1:12" ht="20.25" hidden="1" customHeight="1" thickBot="1" x14ac:dyDescent="0.3">
      <c r="A47" s="287" t="s">
        <v>52</v>
      </c>
      <c r="B47" s="287"/>
      <c r="C47" s="287"/>
      <c r="D47" s="287"/>
      <c r="E47" s="287"/>
      <c r="F47" s="287"/>
      <c r="G47" s="65"/>
      <c r="H47" s="65"/>
    </row>
    <row r="48" spans="1:12" s="6" customFormat="1" ht="18" hidden="1" x14ac:dyDescent="0.25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hidden="1" customHeight="1" x14ac:dyDescent="0.2">
      <c r="A49" s="3"/>
      <c r="B49" t="s">
        <v>26</v>
      </c>
      <c r="C49" s="68">
        <f>+C34</f>
        <v>505300</v>
      </c>
      <c r="D49" s="69">
        <f>+D34</f>
        <v>151590</v>
      </c>
      <c r="E49" s="68">
        <f>+E34</f>
        <v>656890</v>
      </c>
      <c r="F49" s="79">
        <f>+E49/E50</f>
        <v>1</v>
      </c>
      <c r="G49" s="65"/>
      <c r="H49" s="65"/>
      <c r="I49" s="144"/>
    </row>
    <row r="50" spans="1:9" ht="18.75" hidden="1" customHeight="1" x14ac:dyDescent="0.2">
      <c r="B50" s="14" t="s">
        <v>14</v>
      </c>
      <c r="C50" s="151">
        <f>ROUND(SUM(C49:C49),0)</f>
        <v>505300</v>
      </c>
      <c r="D50" s="151">
        <f>E50-C50</f>
        <v>151590</v>
      </c>
      <c r="E50" s="151">
        <f>ROUND(SUM(E49:E49),0)</f>
        <v>656890</v>
      </c>
      <c r="F50" s="79"/>
      <c r="G50" s="65"/>
      <c r="H50" s="65"/>
    </row>
    <row r="51" spans="1:9" hidden="1" x14ac:dyDescent="0.2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1:9" hidden="1" x14ac:dyDescent="0.2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9" hidden="1" x14ac:dyDescent="0.2">
      <c r="A53" s="9" t="s">
        <v>12</v>
      </c>
      <c r="C53" s="25"/>
      <c r="D53" s="25"/>
      <c r="E53" s="29"/>
      <c r="F53" s="79"/>
      <c r="G53" s="65"/>
      <c r="H53" s="65"/>
    </row>
    <row r="54" spans="1:9" s="9" customFormat="1" ht="18" hidden="1" customHeight="1" x14ac:dyDescent="0.2">
      <c r="B54" t="s">
        <v>22</v>
      </c>
      <c r="C54" s="68">
        <f>ROUND(+C43*C50,0)</f>
        <v>85901</v>
      </c>
      <c r="D54" s="69">
        <f>E54-C54</f>
        <v>25770</v>
      </c>
      <c r="E54" s="70">
        <f>ROUND(+E43*E50,0)</f>
        <v>111671</v>
      </c>
      <c r="F54" s="79">
        <f>+E54/E50</f>
        <v>0.16999954330253161</v>
      </c>
      <c r="G54" s="59"/>
      <c r="H54" s="59"/>
    </row>
    <row r="55" spans="1:9" hidden="1" x14ac:dyDescent="0.2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0.15223248945790011</v>
      </c>
      <c r="G55" s="65"/>
      <c r="H55" s="65"/>
    </row>
    <row r="56" spans="1:9" hidden="1" x14ac:dyDescent="0.2">
      <c r="A56" s="9" t="s">
        <v>4</v>
      </c>
      <c r="B56" s="15" t="s">
        <v>17</v>
      </c>
      <c r="C56" s="30">
        <f>SUM(C54:C55)</f>
        <v>185901</v>
      </c>
      <c r="D56" s="30">
        <f>SUM(D54:D55)</f>
        <v>25770</v>
      </c>
      <c r="E56" s="31">
        <f>SUM(E54:E55)</f>
        <v>211671</v>
      </c>
      <c r="F56" s="79"/>
      <c r="G56" s="65"/>
      <c r="H56" s="65"/>
    </row>
    <row r="57" spans="1:9" ht="18.75" hidden="1" thickBot="1" x14ac:dyDescent="0.3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9" ht="18" x14ac:dyDescent="0.25">
      <c r="A58" s="5"/>
      <c r="B58" s="5"/>
      <c r="C58" s="75"/>
      <c r="D58" s="76"/>
      <c r="E58" s="77"/>
      <c r="F58" s="63"/>
    </row>
  </sheetData>
  <mergeCells count="3">
    <mergeCell ref="A2:E2"/>
    <mergeCell ref="G31:I31"/>
    <mergeCell ref="A47:F47"/>
  </mergeCells>
  <conditionalFormatting sqref="D34:D38">
    <cfRule type="aboveAverage" dxfId="1" priority="1"/>
  </conditionalFormatting>
  <printOptions horizontalCentered="1"/>
  <pageMargins left="0.75" right="0.25" top="0.28000000000000003" bottom="0.37" header="0.44" footer="0.17"/>
  <pageSetup scale="59" orientation="landscape" cellComments="asDisplayed" r:id="rId1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CD43-EC5D-409A-A716-A351CACAD325}">
  <sheetPr>
    <tabColor rgb="FF00B050"/>
    <pageSetUpPr fitToPage="1"/>
  </sheetPr>
  <dimension ref="A1:L58"/>
  <sheetViews>
    <sheetView topLeftCell="A33" zoomScale="110" zoomScaleNormal="110" workbookViewId="0">
      <pane ySplit="2175" topLeftCell="A2" activePane="bottomLeft"/>
      <selection activeCell="B65" sqref="B65"/>
      <selection pane="bottomLeft" activeCell="B65" sqref="B65"/>
    </sheetView>
  </sheetViews>
  <sheetFormatPr defaultRowHeight="12.75" outlineLevelRow="1" x14ac:dyDescent="0.2"/>
  <cols>
    <col min="1" max="1" width="3.28515625" style="9" customWidth="1"/>
    <col min="2" max="2" width="50.42578125" customWidth="1"/>
    <col min="3" max="3" width="17" bestFit="1" customWidth="1"/>
    <col min="4" max="4" width="20.140625" style="2" customWidth="1"/>
    <col min="5" max="5" width="17.28515625" style="9" bestFit="1" customWidth="1"/>
    <col min="6" max="6" width="12.5703125" style="35" bestFit="1" customWidth="1"/>
    <col min="7" max="7" width="11.5703125" bestFit="1" customWidth="1"/>
    <col min="8" max="8" width="18" bestFit="1" customWidth="1"/>
    <col min="9" max="9" width="15.7109375" customWidth="1"/>
    <col min="10" max="10" width="14.42578125" bestFit="1" customWidth="1"/>
    <col min="12" max="12" width="16" bestFit="1" customWidth="1"/>
    <col min="13" max="13" width="14.28515625" bestFit="1" customWidth="1"/>
  </cols>
  <sheetData>
    <row r="1" spans="1:12" ht="6" customHeight="1" x14ac:dyDescent="0.2"/>
    <row r="2" spans="1:12" s="8" customFormat="1" ht="26.25" x14ac:dyDescent="0.4">
      <c r="A2" s="285" t="s">
        <v>116</v>
      </c>
      <c r="B2" s="285"/>
      <c r="C2" s="285"/>
      <c r="D2" s="285"/>
      <c r="E2" s="285"/>
      <c r="F2" s="37"/>
      <c r="H2"/>
      <c r="I2" s="1" t="s">
        <v>80</v>
      </c>
      <c r="J2" s="1" t="s">
        <v>81</v>
      </c>
    </row>
    <row r="3" spans="1:12" ht="15.75" x14ac:dyDescent="0.25">
      <c r="A3" s="170" t="s">
        <v>26</v>
      </c>
      <c r="C3" s="3"/>
      <c r="E3" s="1"/>
      <c r="H3" s="8" t="s">
        <v>78</v>
      </c>
      <c r="I3" s="237">
        <f>+C6*C7</f>
        <v>5720</v>
      </c>
      <c r="J3" s="235"/>
    </row>
    <row r="4" spans="1:12" ht="15" x14ac:dyDescent="0.2">
      <c r="C4" s="7"/>
      <c r="D4" s="224" t="s">
        <v>0</v>
      </c>
      <c r="E4" s="7"/>
      <c r="H4" t="s">
        <v>79</v>
      </c>
      <c r="I4" s="237">
        <f>+C8*C6</f>
        <v>2600</v>
      </c>
      <c r="J4" s="235"/>
    </row>
    <row r="5" spans="1:12" ht="20.25" x14ac:dyDescent="0.3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 t="e">
        <f>+J5/J4</f>
        <v>#DIV/0!</v>
      </c>
      <c r="L5" s="223" t="s">
        <v>99</v>
      </c>
    </row>
    <row r="6" spans="1:12" s="167" customFormat="1" ht="15" x14ac:dyDescent="0.2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12" s="167" customFormat="1" ht="15" x14ac:dyDescent="0.2">
      <c r="A7" s="163" t="s">
        <v>77</v>
      </c>
      <c r="B7" s="163"/>
      <c r="C7" s="184">
        <f>+Retail!C7</f>
        <v>22</v>
      </c>
      <c r="D7" s="180"/>
      <c r="E7" s="188">
        <f t="shared" ref="E7:E8" si="0">+C7+D7</f>
        <v>22</v>
      </c>
      <c r="F7" s="209"/>
      <c r="H7" s="167" t="s">
        <v>136</v>
      </c>
    </row>
    <row r="8" spans="1:12" s="167" customFormat="1" ht="15" x14ac:dyDescent="0.2">
      <c r="A8" s="163" t="s">
        <v>30</v>
      </c>
      <c r="B8" s="163"/>
      <c r="C8" s="186">
        <v>10</v>
      </c>
      <c r="D8" s="241">
        <v>3</v>
      </c>
      <c r="E8" s="245">
        <f t="shared" si="0"/>
        <v>13</v>
      </c>
      <c r="F8" s="209"/>
    </row>
    <row r="9" spans="1:12" s="167" customFormat="1" ht="15.75" x14ac:dyDescent="0.25">
      <c r="A9" s="163" t="s">
        <v>32</v>
      </c>
      <c r="B9" s="163"/>
      <c r="C9" s="189">
        <f>+C8/C7</f>
        <v>0.45454545454545453</v>
      </c>
      <c r="D9" s="168"/>
      <c r="E9" s="169">
        <f>+E8/E7</f>
        <v>0.59090909090909094</v>
      </c>
      <c r="F9" s="166"/>
      <c r="H9" s="170" t="s">
        <v>46</v>
      </c>
      <c r="I9" s="170" t="s">
        <v>47</v>
      </c>
      <c r="J9" s="170" t="s">
        <v>48</v>
      </c>
    </row>
    <row r="10" spans="1:12" s="167" customFormat="1" ht="15" x14ac:dyDescent="0.2">
      <c r="A10" s="163" t="s">
        <v>35</v>
      </c>
      <c r="B10" s="163"/>
      <c r="C10" s="185">
        <f>+H11/12</f>
        <v>0.38461666666666666</v>
      </c>
      <c r="D10" s="212"/>
      <c r="E10" s="187">
        <f>+C10+D10</f>
        <v>0.38461666666666666</v>
      </c>
      <c r="F10" s="166"/>
      <c r="G10" s="171"/>
      <c r="H10" s="234">
        <f>+H11</f>
        <v>4.6154000000000002</v>
      </c>
      <c r="I10" s="211">
        <f>ROUND(+H10/12,6)</f>
        <v>0.38461699999999999</v>
      </c>
      <c r="J10" s="211">
        <f>ROUND(+I10-C10,7)</f>
        <v>2.9999999999999999E-7</v>
      </c>
    </row>
    <row r="11" spans="1:12" s="167" customFormat="1" ht="24" customHeight="1" thickBot="1" x14ac:dyDescent="0.25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1300</v>
      </c>
      <c r="F11" s="166"/>
      <c r="H11" s="218">
        <v>4.6154000000000002</v>
      </c>
      <c r="I11" s="167" t="s">
        <v>1</v>
      </c>
    </row>
    <row r="12" spans="1:12" s="167" customFormat="1" ht="3" customHeight="1" thickTop="1" x14ac:dyDescent="0.25">
      <c r="A12" s="170"/>
      <c r="C12" s="173"/>
      <c r="D12" s="174"/>
      <c r="E12" s="173"/>
      <c r="F12" s="166"/>
    </row>
    <row r="13" spans="1:12" s="167" customFormat="1" ht="18" x14ac:dyDescent="0.25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2" s="167" customFormat="1" ht="15.75" x14ac:dyDescent="0.2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2" s="167" customFormat="1" ht="15.75" x14ac:dyDescent="0.25">
      <c r="A15" s="170"/>
      <c r="B15" s="167" t="s">
        <v>117</v>
      </c>
      <c r="C15" s="284">
        <f>+Retail!C15</f>
        <v>0.41</v>
      </c>
      <c r="D15" s="246">
        <v>-0.02</v>
      </c>
      <c r="E15" s="284">
        <f>+D15+C15</f>
        <v>0.38999999999999996</v>
      </c>
      <c r="F15" s="217">
        <f t="shared" ref="F15:F19" si="1">+D15*$C$11</f>
        <v>-20.000066666666665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2" s="167" customFormat="1" ht="15.75" x14ac:dyDescent="0.25">
      <c r="A16" s="170"/>
      <c r="B16" s="167" t="s">
        <v>118</v>
      </c>
      <c r="C16" s="284">
        <f>+Retail!C16</f>
        <v>0.49</v>
      </c>
      <c r="D16" s="247">
        <v>-0.02</v>
      </c>
      <c r="E16" s="284">
        <f>+D16+C16</f>
        <v>0.47</v>
      </c>
      <c r="F16" s="217">
        <f t="shared" si="1"/>
        <v>-20.000066666666665</v>
      </c>
      <c r="G16" s="193">
        <v>720</v>
      </c>
      <c r="H16" s="192"/>
      <c r="I16" s="194">
        <f>+H16+G16</f>
        <v>720</v>
      </c>
      <c r="J16" s="220">
        <f t="shared" ref="J16:J30" si="2">+I16/12</f>
        <v>60</v>
      </c>
    </row>
    <row r="17" spans="1:10" s="167" customFormat="1" ht="15.75" x14ac:dyDescent="0.25">
      <c r="A17" s="170"/>
      <c r="B17" s="167" t="str">
        <f>+Retail!B17</f>
        <v>Cab Franc</v>
      </c>
      <c r="C17" s="284">
        <f>+Retail!C17</f>
        <v>0.1</v>
      </c>
      <c r="D17" s="268">
        <v>-0.01</v>
      </c>
      <c r="E17" s="284">
        <f t="shared" ref="E17:E30" si="3">+D17+C17</f>
        <v>9.0000000000000011E-2</v>
      </c>
      <c r="F17" s="217">
        <f t="shared" si="1"/>
        <v>-10.000033333333333</v>
      </c>
      <c r="G17" s="193">
        <f>+Retail!G17</f>
        <v>540</v>
      </c>
      <c r="H17" s="192"/>
      <c r="I17" s="194">
        <f t="shared" ref="I17:I30" si="4">+H17+G17</f>
        <v>540</v>
      </c>
      <c r="J17" s="220">
        <f t="shared" si="2"/>
        <v>45</v>
      </c>
    </row>
    <row r="18" spans="1:10" s="167" customFormat="1" ht="15.75" x14ac:dyDescent="0.25">
      <c r="A18" s="170"/>
      <c r="B18" s="167" t="s">
        <v>144</v>
      </c>
      <c r="C18" s="190"/>
      <c r="D18" s="248">
        <v>0.05</v>
      </c>
      <c r="E18" s="191">
        <f t="shared" si="3"/>
        <v>0.05</v>
      </c>
      <c r="F18" s="217">
        <f t="shared" si="1"/>
        <v>50.000166666666672</v>
      </c>
      <c r="G18" s="193">
        <v>180</v>
      </c>
      <c r="H18" s="192"/>
      <c r="I18" s="194">
        <f t="shared" si="4"/>
        <v>180</v>
      </c>
      <c r="J18" s="220">
        <f t="shared" si="2"/>
        <v>15</v>
      </c>
    </row>
    <row r="19" spans="1:10" s="167" customFormat="1" ht="15.75" x14ac:dyDescent="0.25">
      <c r="A19" s="170"/>
      <c r="B19" s="167" t="s">
        <v>101</v>
      </c>
      <c r="C19" s="190"/>
      <c r="D19" s="248"/>
      <c r="E19" s="191">
        <f t="shared" si="3"/>
        <v>0</v>
      </c>
      <c r="F19" s="217">
        <f t="shared" si="1"/>
        <v>0</v>
      </c>
      <c r="G19" s="193">
        <v>0</v>
      </c>
      <c r="H19" s="192"/>
      <c r="I19" s="194">
        <f t="shared" si="4"/>
        <v>0</v>
      </c>
      <c r="J19" s="220">
        <f t="shared" si="2"/>
        <v>0</v>
      </c>
    </row>
    <row r="20" spans="1:10" s="167" customFormat="1" ht="15.75" x14ac:dyDescent="0.25">
      <c r="A20" s="170"/>
      <c r="B20" s="167" t="s">
        <v>102</v>
      </c>
      <c r="C20" s="190"/>
      <c r="D20" s="248"/>
      <c r="E20" s="191">
        <f t="shared" si="3"/>
        <v>0</v>
      </c>
      <c r="F20" s="217">
        <f>+D20*$C$11</f>
        <v>0</v>
      </c>
      <c r="G20" s="193">
        <v>0</v>
      </c>
      <c r="H20" s="192"/>
      <c r="I20" s="194">
        <f t="shared" si="4"/>
        <v>0</v>
      </c>
      <c r="J20" s="220">
        <f t="shared" si="2"/>
        <v>0</v>
      </c>
    </row>
    <row r="21" spans="1:10" s="167" customFormat="1" ht="15.75" x14ac:dyDescent="0.25">
      <c r="A21" s="170"/>
      <c r="B21" s="167" t="s">
        <v>103</v>
      </c>
      <c r="C21" s="190"/>
      <c r="D21" s="248"/>
      <c r="E21" s="191">
        <f t="shared" si="3"/>
        <v>0</v>
      </c>
      <c r="F21" s="217">
        <f t="shared" ref="F21:F30" si="5">+D21*$C$11</f>
        <v>0</v>
      </c>
      <c r="G21" s="193">
        <v>0</v>
      </c>
      <c r="H21" s="192"/>
      <c r="I21" s="194">
        <f t="shared" si="4"/>
        <v>0</v>
      </c>
      <c r="J21" s="220">
        <f t="shared" si="2"/>
        <v>0</v>
      </c>
    </row>
    <row r="22" spans="1:10" s="167" customFormat="1" ht="12" customHeight="1" x14ac:dyDescent="0.25">
      <c r="A22" s="170"/>
      <c r="B22" s="167" t="s">
        <v>104</v>
      </c>
      <c r="C22" s="190"/>
      <c r="D22" s="248"/>
      <c r="E22" s="191">
        <f t="shared" si="3"/>
        <v>0</v>
      </c>
      <c r="F22" s="217">
        <f t="shared" si="5"/>
        <v>0</v>
      </c>
      <c r="G22" s="193">
        <v>0</v>
      </c>
      <c r="H22" s="192"/>
      <c r="I22" s="194">
        <f t="shared" si="4"/>
        <v>0</v>
      </c>
      <c r="J22" s="220">
        <f t="shared" si="2"/>
        <v>0</v>
      </c>
    </row>
    <row r="23" spans="1:10" s="167" customFormat="1" ht="15.75" hidden="1" outlineLevel="1" x14ac:dyDescent="0.25">
      <c r="A23" s="170"/>
      <c r="B23" s="167" t="s">
        <v>105</v>
      </c>
      <c r="C23" s="190"/>
      <c r="D23" s="213"/>
      <c r="E23" s="191">
        <f t="shared" si="3"/>
        <v>0</v>
      </c>
      <c r="F23" s="217">
        <f t="shared" si="5"/>
        <v>0</v>
      </c>
      <c r="G23" s="193">
        <v>0</v>
      </c>
      <c r="H23" s="192"/>
      <c r="I23" s="194">
        <f t="shared" si="4"/>
        <v>0</v>
      </c>
      <c r="J23" s="220">
        <f t="shared" si="2"/>
        <v>0</v>
      </c>
    </row>
    <row r="24" spans="1:10" s="167" customFormat="1" ht="15.75" hidden="1" outlineLevel="1" x14ac:dyDescent="0.25">
      <c r="A24" s="170"/>
      <c r="B24" s="167" t="s">
        <v>106</v>
      </c>
      <c r="C24" s="190"/>
      <c r="D24" s="213"/>
      <c r="E24" s="191">
        <f t="shared" si="3"/>
        <v>0</v>
      </c>
      <c r="F24" s="217">
        <f t="shared" si="5"/>
        <v>0</v>
      </c>
      <c r="G24" s="193">
        <v>0</v>
      </c>
      <c r="H24" s="192"/>
      <c r="I24" s="194">
        <f t="shared" si="4"/>
        <v>0</v>
      </c>
      <c r="J24" s="220">
        <f t="shared" si="2"/>
        <v>0</v>
      </c>
    </row>
    <row r="25" spans="1:10" s="167" customFormat="1" ht="15.75" hidden="1" outlineLevel="1" x14ac:dyDescent="0.25">
      <c r="A25" s="170"/>
      <c r="B25" s="167" t="s">
        <v>107</v>
      </c>
      <c r="C25" s="190"/>
      <c r="D25" s="213"/>
      <c r="E25" s="191">
        <f t="shared" si="3"/>
        <v>0</v>
      </c>
      <c r="F25" s="217">
        <f t="shared" si="5"/>
        <v>0</v>
      </c>
      <c r="G25" s="193">
        <v>0</v>
      </c>
      <c r="H25" s="192"/>
      <c r="I25" s="194">
        <f t="shared" si="4"/>
        <v>0</v>
      </c>
      <c r="J25" s="220">
        <f t="shared" si="2"/>
        <v>0</v>
      </c>
    </row>
    <row r="26" spans="1:10" s="167" customFormat="1" ht="15.75" hidden="1" outlineLevel="1" x14ac:dyDescent="0.25">
      <c r="A26" s="170"/>
      <c r="B26" s="167" t="s">
        <v>108</v>
      </c>
      <c r="C26" s="190"/>
      <c r="D26" s="213"/>
      <c r="E26" s="191">
        <f t="shared" si="3"/>
        <v>0</v>
      </c>
      <c r="F26" s="217">
        <f t="shared" si="5"/>
        <v>0</v>
      </c>
      <c r="G26" s="193">
        <v>0</v>
      </c>
      <c r="H26" s="192"/>
      <c r="I26" s="194">
        <f t="shared" si="4"/>
        <v>0</v>
      </c>
      <c r="J26" s="220">
        <f t="shared" si="2"/>
        <v>0</v>
      </c>
    </row>
    <row r="27" spans="1:10" s="167" customFormat="1" ht="15.75" hidden="1" outlineLevel="1" x14ac:dyDescent="0.25">
      <c r="A27" s="170"/>
      <c r="B27" s="167" t="s">
        <v>109</v>
      </c>
      <c r="C27" s="190"/>
      <c r="D27" s="213"/>
      <c r="E27" s="191">
        <f t="shared" si="3"/>
        <v>0</v>
      </c>
      <c r="F27" s="217">
        <f t="shared" si="5"/>
        <v>0</v>
      </c>
      <c r="G27" s="193">
        <v>0</v>
      </c>
      <c r="H27" s="192"/>
      <c r="I27" s="194">
        <f t="shared" si="4"/>
        <v>0</v>
      </c>
      <c r="J27" s="220">
        <f t="shared" si="2"/>
        <v>0</v>
      </c>
    </row>
    <row r="28" spans="1:10" s="167" customFormat="1" ht="15.75" hidden="1" outlineLevel="1" x14ac:dyDescent="0.25">
      <c r="A28" s="170"/>
      <c r="B28" s="167" t="s">
        <v>110</v>
      </c>
      <c r="C28" s="190"/>
      <c r="D28" s="213"/>
      <c r="E28" s="191">
        <f t="shared" si="3"/>
        <v>0</v>
      </c>
      <c r="F28" s="217">
        <f t="shared" si="5"/>
        <v>0</v>
      </c>
      <c r="G28" s="193">
        <v>0</v>
      </c>
      <c r="H28" s="192"/>
      <c r="I28" s="194">
        <f t="shared" si="4"/>
        <v>0</v>
      </c>
      <c r="J28" s="220">
        <f t="shared" si="2"/>
        <v>0</v>
      </c>
    </row>
    <row r="29" spans="1:10" s="167" customFormat="1" ht="15.75" hidden="1" outlineLevel="1" x14ac:dyDescent="0.25">
      <c r="A29" s="170"/>
      <c r="B29" s="167" t="s">
        <v>111</v>
      </c>
      <c r="C29" s="190"/>
      <c r="D29" s="213"/>
      <c r="E29" s="191">
        <f t="shared" si="3"/>
        <v>0</v>
      </c>
      <c r="F29" s="217">
        <f t="shared" si="5"/>
        <v>0</v>
      </c>
      <c r="G29" s="193">
        <v>1200</v>
      </c>
      <c r="H29" s="192"/>
      <c r="I29" s="194">
        <f t="shared" si="4"/>
        <v>1200</v>
      </c>
      <c r="J29" s="220">
        <f t="shared" si="2"/>
        <v>100</v>
      </c>
    </row>
    <row r="30" spans="1:10" s="167" customFormat="1" ht="15.75" hidden="1" outlineLevel="1" x14ac:dyDescent="0.25">
      <c r="A30" s="170"/>
      <c r="B30" s="167" t="s">
        <v>112</v>
      </c>
      <c r="C30" s="190"/>
      <c r="D30" s="192"/>
      <c r="E30" s="176">
        <f t="shared" si="3"/>
        <v>0</v>
      </c>
      <c r="F30" s="217">
        <f t="shared" si="5"/>
        <v>0</v>
      </c>
      <c r="G30" s="193">
        <v>1320</v>
      </c>
      <c r="H30" s="192"/>
      <c r="I30" s="194">
        <f t="shared" si="4"/>
        <v>1320</v>
      </c>
      <c r="J30" s="219">
        <f t="shared" si="2"/>
        <v>110</v>
      </c>
    </row>
    <row r="31" spans="1:10" s="167" customFormat="1" ht="15.75" collapsed="1" x14ac:dyDescent="0.25">
      <c r="A31" s="170"/>
      <c r="C31" s="215">
        <f>SUM(C15:C30)</f>
        <v>0.99999999999999989</v>
      </c>
      <c r="D31" s="214" t="str">
        <f>IF(SUM(D15:D30)&lt;&gt;0,"Error, Percentages must total zero.","")</f>
        <v/>
      </c>
      <c r="E31" s="216">
        <f>SUM(E15:E30)</f>
        <v>0.99999999999999989</v>
      </c>
      <c r="F31" s="166"/>
      <c r="G31" s="286"/>
      <c r="H31" s="286"/>
      <c r="I31" s="286"/>
    </row>
    <row r="32" spans="1:10" ht="18" customHeight="1" x14ac:dyDescent="0.2">
      <c r="B32" s="12"/>
      <c r="C32" s="52"/>
      <c r="D32" s="57"/>
      <c r="E32" s="52"/>
    </row>
    <row r="33" spans="1:12" ht="16.5" customHeight="1" x14ac:dyDescent="0.3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 x14ac:dyDescent="0.25">
      <c r="A34" s="56" t="s">
        <v>94</v>
      </c>
      <c r="B34" s="56"/>
      <c r="C34" s="159">
        <v>505300</v>
      </c>
      <c r="D34" s="160">
        <f>+E34-C34</f>
        <v>151590</v>
      </c>
      <c r="E34" s="161">
        <f>+E11*L34</f>
        <v>656890</v>
      </c>
      <c r="F34" s="162">
        <f>+E34-C34</f>
        <v>151590</v>
      </c>
      <c r="H34" s="109"/>
      <c r="I34" s="110" t="s">
        <v>33</v>
      </c>
      <c r="J34" s="109"/>
      <c r="K34" s="109"/>
      <c r="L34" s="113">
        <f>+Retail!L34</f>
        <v>505.3</v>
      </c>
    </row>
    <row r="35" spans="1:12" ht="15" x14ac:dyDescent="0.25">
      <c r="A35" s="56" t="s">
        <v>95</v>
      </c>
      <c r="B35" s="56"/>
      <c r="C35" s="159">
        <f>+C34</f>
        <v>505300</v>
      </c>
      <c r="D35" s="160">
        <f>+E35-C35</f>
        <v>131310.00000000012</v>
      </c>
      <c r="E35" s="161">
        <f>+E$11*L35</f>
        <v>636610.00000000012</v>
      </c>
      <c r="F35" s="162">
        <f>+E35-E34</f>
        <v>-20279.999999999884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489.70000000000005</v>
      </c>
    </row>
    <row r="36" spans="1:12" ht="15" x14ac:dyDescent="0.25">
      <c r="A36" s="56" t="s">
        <v>96</v>
      </c>
      <c r="B36" s="56"/>
      <c r="C36" s="159">
        <f>+C35</f>
        <v>505300</v>
      </c>
      <c r="D36" s="160">
        <f>+E36-C36</f>
        <v>151590</v>
      </c>
      <c r="E36" s="161">
        <f>+E$11*L36</f>
        <v>656890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505.3</v>
      </c>
    </row>
    <row r="37" spans="1:12" ht="9" customHeight="1" x14ac:dyDescent="0.25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 x14ac:dyDescent="0.25">
      <c r="A38" s="56" t="s">
        <v>97</v>
      </c>
      <c r="B38" s="55"/>
      <c r="C38" s="159">
        <f>+C35</f>
        <v>505300</v>
      </c>
      <c r="D38" s="160">
        <f>+E38-C38</f>
        <v>131310.00000000012</v>
      </c>
      <c r="E38" s="161">
        <f>+L38*E11</f>
        <v>636610.00000000012</v>
      </c>
      <c r="F38" s="162">
        <f>+E38-C34</f>
        <v>131310.00000000012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489.70000000000005</v>
      </c>
    </row>
    <row r="39" spans="1:12" ht="20.25" hidden="1" x14ac:dyDescent="0.3">
      <c r="A39" s="51" t="s">
        <v>49</v>
      </c>
      <c r="C39" s="60"/>
      <c r="D39"/>
      <c r="E39" s="58"/>
      <c r="I39" s="110"/>
      <c r="J39" s="109"/>
      <c r="K39" s="109"/>
    </row>
    <row r="40" spans="1:12" hidden="1" x14ac:dyDescent="0.2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12" hidden="1" x14ac:dyDescent="0.2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12" ht="13.5" hidden="1" customHeight="1" x14ac:dyDescent="0.2">
      <c r="A42" s="59"/>
      <c r="B42" s="65"/>
      <c r="C42" s="61"/>
      <c r="D42" s="61"/>
      <c r="E42" s="29"/>
      <c r="F42" s="64"/>
      <c r="G42" s="65"/>
      <c r="H42" s="65"/>
    </row>
    <row r="43" spans="1:12" ht="13.5" hidden="1" customHeight="1" x14ac:dyDescent="0.2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12" hidden="1" x14ac:dyDescent="0.2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1:12" hidden="1" x14ac:dyDescent="0.2">
      <c r="C45" s="60"/>
      <c r="D45" s="62"/>
      <c r="E45" s="71"/>
      <c r="G45" s="65"/>
      <c r="H45" s="65"/>
    </row>
    <row r="46" spans="1:12" x14ac:dyDescent="0.2">
      <c r="C46" s="60"/>
      <c r="D46" s="62"/>
      <c r="E46" s="58"/>
      <c r="G46" s="65"/>
      <c r="H46" s="65"/>
    </row>
    <row r="47" spans="1:12" ht="20.25" hidden="1" customHeight="1" thickBot="1" x14ac:dyDescent="0.3">
      <c r="A47" s="287" t="s">
        <v>52</v>
      </c>
      <c r="B47" s="287"/>
      <c r="C47" s="287"/>
      <c r="D47" s="287"/>
      <c r="E47" s="287"/>
      <c r="F47" s="287"/>
      <c r="G47" s="65"/>
      <c r="H47" s="65"/>
    </row>
    <row r="48" spans="1:12" s="6" customFormat="1" ht="18" hidden="1" x14ac:dyDescent="0.25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hidden="1" customHeight="1" x14ac:dyDescent="0.2">
      <c r="A49" s="3"/>
      <c r="B49" t="s">
        <v>26</v>
      </c>
      <c r="C49" s="68">
        <f>+C34</f>
        <v>505300</v>
      </c>
      <c r="D49" s="69">
        <f>+D34</f>
        <v>151590</v>
      </c>
      <c r="E49" s="68">
        <f>+E34</f>
        <v>656890</v>
      </c>
      <c r="F49" s="79">
        <f>+E49/E50</f>
        <v>1</v>
      </c>
      <c r="G49" s="65"/>
      <c r="H49" s="65"/>
      <c r="I49" s="144"/>
    </row>
    <row r="50" spans="1:9" ht="18.75" hidden="1" customHeight="1" x14ac:dyDescent="0.2">
      <c r="B50" s="14" t="s">
        <v>14</v>
      </c>
      <c r="C50" s="151">
        <f>ROUND(SUM(C49:C49),0)</f>
        <v>505300</v>
      </c>
      <c r="D50" s="151">
        <f>E50-C50</f>
        <v>151590</v>
      </c>
      <c r="E50" s="151">
        <f>ROUND(SUM(E49:E49),0)</f>
        <v>656890</v>
      </c>
      <c r="F50" s="79"/>
      <c r="G50" s="65"/>
      <c r="H50" s="65"/>
    </row>
    <row r="51" spans="1:9" hidden="1" x14ac:dyDescent="0.2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1:9" hidden="1" x14ac:dyDescent="0.2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9" hidden="1" x14ac:dyDescent="0.2">
      <c r="A53" s="9" t="s">
        <v>12</v>
      </c>
      <c r="C53" s="25"/>
      <c r="D53" s="25"/>
      <c r="E53" s="29"/>
      <c r="F53" s="79"/>
      <c r="G53" s="65"/>
      <c r="H53" s="65"/>
    </row>
    <row r="54" spans="1:9" s="9" customFormat="1" ht="18" hidden="1" customHeight="1" x14ac:dyDescent="0.2">
      <c r="B54" t="s">
        <v>22</v>
      </c>
      <c r="C54" s="68">
        <f>ROUND(+C43*C50,0)</f>
        <v>85901</v>
      </c>
      <c r="D54" s="69">
        <f>E54-C54</f>
        <v>25770</v>
      </c>
      <c r="E54" s="70">
        <f>ROUND(+E43*E50,0)</f>
        <v>111671</v>
      </c>
      <c r="F54" s="79">
        <f>+E54/E50</f>
        <v>0.16999954330253161</v>
      </c>
      <c r="G54" s="59"/>
      <c r="H54" s="59"/>
    </row>
    <row r="55" spans="1:9" hidden="1" x14ac:dyDescent="0.2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0.15223248945790011</v>
      </c>
      <c r="G55" s="65"/>
      <c r="H55" s="65"/>
    </row>
    <row r="56" spans="1:9" hidden="1" x14ac:dyDescent="0.2">
      <c r="A56" s="9" t="s">
        <v>4</v>
      </c>
      <c r="B56" s="15" t="s">
        <v>17</v>
      </c>
      <c r="C56" s="30">
        <f>SUM(C54:C55)</f>
        <v>185901</v>
      </c>
      <c r="D56" s="30">
        <f>SUM(D54:D55)</f>
        <v>25770</v>
      </c>
      <c r="E56" s="31">
        <f>SUM(E54:E55)</f>
        <v>211671</v>
      </c>
      <c r="F56" s="79"/>
      <c r="G56" s="65"/>
      <c r="H56" s="65"/>
    </row>
    <row r="57" spans="1:9" ht="18.75" hidden="1" thickBot="1" x14ac:dyDescent="0.3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9" ht="18" x14ac:dyDescent="0.25">
      <c r="A58" s="5"/>
      <c r="B58" s="5"/>
      <c r="C58" s="75"/>
      <c r="D58" s="76"/>
      <c r="E58" s="77"/>
      <c r="F58" s="63"/>
    </row>
  </sheetData>
  <mergeCells count="3">
    <mergeCell ref="A2:E2"/>
    <mergeCell ref="G31:I31"/>
    <mergeCell ref="A47:F47"/>
  </mergeCells>
  <conditionalFormatting sqref="D34:D38">
    <cfRule type="aboveAverage" dxfId="0" priority="1"/>
  </conditionalFormatting>
  <printOptions horizontalCentered="1"/>
  <pageMargins left="0.75" right="0.25" top="0.28000000000000003" bottom="0.37" header="0.44" footer="0.17"/>
  <pageSetup scale="59" orientation="landscape" cellComments="asDisplayed" r:id="rId1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Retail</vt:lpstr>
      <vt:lpstr>Inputs</vt:lpstr>
      <vt:lpstr>Sample data - all</vt:lpstr>
      <vt:lpstr>Sample data Club</vt:lpstr>
      <vt:lpstr>Sample data E-commerce</vt:lpstr>
      <vt:lpstr>Break Even Calculations</vt:lpstr>
      <vt:lpstr>Scenario 1</vt:lpstr>
      <vt:lpstr>Scenario 2</vt:lpstr>
      <vt:lpstr>Scenario 3</vt:lpstr>
      <vt:lpstr>'Break Even Calculations'!Print_Area</vt:lpstr>
      <vt:lpstr>Retail!Print_Area</vt:lpstr>
      <vt:lpstr>'Sample data - all'!Print_Area</vt:lpstr>
      <vt:lpstr>'Sample data Club'!Print_Area</vt:lpstr>
      <vt:lpstr>'Sample data E-commerce'!Print_Area</vt:lpstr>
      <vt:lpstr>'Scenario 1'!Print_Area</vt:lpstr>
      <vt:lpstr>'Scenario 2'!Print_Area</vt:lpstr>
      <vt:lpstr>'Scenario 3'!Print_Area</vt:lpstr>
    </vt:vector>
  </TitlesOfParts>
  <Company>Mentor 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Brotemarkle, Davis &amp; Co. LLP</dc:creator>
  <cp:lastModifiedBy>geni</cp:lastModifiedBy>
  <cp:lastPrinted>2020-02-28T18:03:39Z</cp:lastPrinted>
  <dcterms:created xsi:type="dcterms:W3CDTF">1998-10-22T22:08:35Z</dcterms:created>
  <dcterms:modified xsi:type="dcterms:W3CDTF">2020-08-06T19:49:45Z</dcterms:modified>
</cp:coreProperties>
</file>